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embeddings/oleObject1.bin" ContentType="application/vnd.openxmlformats-officedocument.oleObject"/>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embeddings/oleObject2.bin" ContentType="application/vnd.openxmlformats-officedocument.oleObject"/>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nhy-my.sharepoint.com/personal/johan_de_clerck_hydro_com/Documents/Desktop/Fac Statica/"/>
    </mc:Choice>
  </mc:AlternateContent>
  <xr:revisionPtr revIDLastSave="25" documentId="8_{83BB9E38-13DD-4970-AF03-3694E45B5663}" xr6:coauthVersionLast="47" xr6:coauthVersionMax="47" xr10:uidLastSave="{45B61C52-97CA-48AF-95AA-93EF08F34A13}"/>
  <workbookProtection workbookAlgorithmName="SHA-512" workbookHashValue="mogWIKe2TZ4dNQoK/FigmWQz5YUP99nGHCgqS0Slm2W8H0Q8DgyQ/FCjfxRh6Bgaa8pHQdKaVNS4SlJtLht+Ag==" workbookSaltValue="fGOsVX0WijFkyAIDc5jQkw==" workbookSpinCount="100000" lockStructure="1"/>
  <bookViews>
    <workbookView xWindow="-108" yWindow="-108" windowWidth="23256" windowHeight="12456" tabRatio="937" firstSheet="2" activeTab="3" xr2:uid="{00000000-000D-0000-FFFF-FFFF00000000}"/>
  </bookViews>
  <sheets>
    <sheet name="Project" sheetId="7" state="hidden" r:id="rId1"/>
    <sheet name="Wind" sheetId="5" state="hidden" r:id="rId2"/>
    <sheet name="Wind bracket type 1" sheetId="64" r:id="rId3"/>
    <sheet name="Weight bracket type 1" sheetId="58" r:id="rId4"/>
    <sheet name="Sheet1" sheetId="57" state="hidden" r:id="rId5"/>
  </sheets>
  <definedNames>
    <definedName name="CLINT">#REF!</definedName>
    <definedName name="Gebouw">INDEX(Wind!$Y$147:$Y$150,MATCH(Wind!$C$8,Wind!$X$147:$X$150,0))</definedName>
    <definedName name="Gebouwtype">INDEX(Wind!$Y$147:$Y$150,MATCH(Wind!$C$8,Wind!$X$147:$X$150,0))</definedName>
    <definedName name="Hdis">INDEX(Wind!$Y$159:$Y$161,MATCH(Wind!$C$23,Wind!$X$159:$X$161,0))</definedName>
    <definedName name="hellingstype">INDEX(Wind!$Y$168:$Y$171,MATCH(Wind!$C$54,Wind!$X$168:$X$171,0))</definedName>
    <definedName name="HexaenOcta">#REF!</definedName>
    <definedName name="landkeuze">IF(Project!$D$8=1,Wind!$Y$153,IF(Project!$D$8=2,Wind!$Y$154,Wind!$Y$155))</definedName>
    <definedName name="nabijheidhooggebouw">INDEX(Wind!$Y$165:$Y$166,MATCH(Wind!$C$33,Wind!$X$165:$X$166,0))</definedName>
    <definedName name="_xlnm.Print_Area" localSheetId="0">Project!$B$2:$R$96</definedName>
    <definedName name="_xlnm.Print_Area" localSheetId="3">'Weight bracket type 1'!$A$1:$T$134</definedName>
    <definedName name="_xlnm.Print_Area" localSheetId="1">Wind!$B$2:$S$96</definedName>
    <definedName name="_xlnm.Print_Area" localSheetId="2">'Wind bracket type 1'!$B$2:$S$109</definedName>
    <definedName name="Profielsectie">#REF!</definedName>
    <definedName name="Ruwheidsfoto" comment="foto van ruwheidscategorie">IF(Project!$D$8=1,INDEX(Wind!$Y$132:$Y$136,MATCH(Wind!$C$45,Wind!$X$132:$X$136,0)),IF(Project!$D$8=2,INDEX(Wind!$Y$137:$Y$141,MATCH(Wind!$C$45,Wind!$X$137:$X$141,0)),INDEX(Wind!$Y$142:$Y$144,MATCH(Wind!$C$45,Wind!$X$142:$X$144,0))))</definedName>
    <definedName name="Stadsgebouw">INDEX(Wind!$Y$163:$Y$164,MATCH(Wind!$C$27,Wind!$X$163:$X$164,0))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7" i="57" l="1"/>
  <c r="J63" i="57"/>
  <c r="J54" i="57"/>
  <c r="J50" i="57"/>
  <c r="C25" i="57"/>
  <c r="F15" i="57"/>
  <c r="K14" i="57"/>
  <c r="F14" i="57"/>
  <c r="C111" i="58"/>
  <c r="C108" i="58"/>
  <c r="C103" i="58"/>
  <c r="C101" i="58"/>
  <c r="C98" i="58"/>
  <c r="C99" i="58" s="1"/>
  <c r="C84" i="58"/>
  <c r="C81" i="58"/>
  <c r="C83" i="58" s="1"/>
  <c r="C73" i="58"/>
  <c r="C69" i="58"/>
  <c r="C66" i="58"/>
  <c r="C65" i="58"/>
  <c r="C61" i="58"/>
  <c r="C70" i="58" s="1"/>
  <c r="C60" i="58"/>
  <c r="C47" i="58"/>
  <c r="C46" i="58"/>
  <c r="P45" i="58"/>
  <c r="O45" i="58"/>
  <c r="N45" i="58"/>
  <c r="P44" i="58"/>
  <c r="O44" i="58"/>
  <c r="N44" i="58"/>
  <c r="P43" i="58"/>
  <c r="O43" i="58"/>
  <c r="N43" i="58"/>
  <c r="P42" i="58"/>
  <c r="O42" i="58"/>
  <c r="N42" i="58"/>
  <c r="P41" i="58"/>
  <c r="O41" i="58"/>
  <c r="N41" i="58"/>
  <c r="C41" i="58"/>
  <c r="C49" i="58" s="1"/>
  <c r="P40" i="58"/>
  <c r="O40" i="58"/>
  <c r="N40" i="58"/>
  <c r="C40" i="58"/>
  <c r="P39" i="58"/>
  <c r="O39" i="58"/>
  <c r="N39" i="58"/>
  <c r="C39" i="58"/>
  <c r="P38" i="58"/>
  <c r="O38" i="58"/>
  <c r="N38" i="58"/>
  <c r="P37" i="58"/>
  <c r="O37" i="58"/>
  <c r="N37" i="58"/>
  <c r="P36" i="58"/>
  <c r="O36" i="58"/>
  <c r="N36" i="58"/>
  <c r="R35" i="58"/>
  <c r="N35" i="58" s="1"/>
  <c r="P35" i="58"/>
  <c r="O35" i="58"/>
  <c r="P34" i="58"/>
  <c r="O34" i="58"/>
  <c r="N34" i="58"/>
  <c r="P33" i="58"/>
  <c r="O33" i="58"/>
  <c r="C20" i="58" s="1"/>
  <c r="N33" i="58"/>
  <c r="C30" i="58" s="1"/>
  <c r="P32" i="58"/>
  <c r="O32" i="58"/>
  <c r="N32" i="58"/>
  <c r="P31" i="58"/>
  <c r="O31" i="58"/>
  <c r="N31" i="58"/>
  <c r="P30" i="58"/>
  <c r="O30" i="58"/>
  <c r="N30" i="58"/>
  <c r="C29" i="58"/>
  <c r="C28" i="58"/>
  <c r="C27" i="58"/>
  <c r="W20" i="58"/>
  <c r="C12" i="58"/>
  <c r="C114" i="58" s="1"/>
  <c r="N11" i="58"/>
  <c r="E11" i="58"/>
  <c r="N10" i="58"/>
  <c r="N9" i="58"/>
  <c r="B5" i="58"/>
  <c r="B4" i="58"/>
  <c r="B2" i="58"/>
  <c r="C108" i="64"/>
  <c r="C109" i="64" s="1"/>
  <c r="C103" i="64"/>
  <c r="C100" i="64"/>
  <c r="C95" i="64"/>
  <c r="C90" i="64"/>
  <c r="C91" i="64" s="1"/>
  <c r="C77" i="64"/>
  <c r="C78" i="64" s="1"/>
  <c r="C79" i="64" s="1"/>
  <c r="C66" i="64"/>
  <c r="C65" i="64"/>
  <c r="C62" i="64"/>
  <c r="C61" i="64"/>
  <c r="C56" i="64"/>
  <c r="C68" i="64" s="1"/>
  <c r="P44" i="64"/>
  <c r="O44" i="64"/>
  <c r="N44" i="64"/>
  <c r="P43" i="64"/>
  <c r="O43" i="64"/>
  <c r="N43" i="64"/>
  <c r="C43" i="64"/>
  <c r="P42" i="64"/>
  <c r="O42" i="64"/>
  <c r="N42" i="64"/>
  <c r="C42" i="64"/>
  <c r="P41" i="64"/>
  <c r="O41" i="64"/>
  <c r="N41" i="64"/>
  <c r="P40" i="64"/>
  <c r="O40" i="64"/>
  <c r="N40" i="64"/>
  <c r="P39" i="64"/>
  <c r="O39" i="64"/>
  <c r="N39" i="64"/>
  <c r="P38" i="64"/>
  <c r="O38" i="64"/>
  <c r="N38" i="64"/>
  <c r="P37" i="64"/>
  <c r="O37" i="64"/>
  <c r="N37" i="64"/>
  <c r="C37" i="64"/>
  <c r="P36" i="64"/>
  <c r="O36" i="64"/>
  <c r="N36" i="64"/>
  <c r="C36" i="64"/>
  <c r="P35" i="64"/>
  <c r="O35" i="64"/>
  <c r="N35" i="64"/>
  <c r="C35" i="64"/>
  <c r="R34" i="64"/>
  <c r="N34" i="64" s="1"/>
  <c r="P34" i="64"/>
  <c r="O34" i="64"/>
  <c r="P33" i="64"/>
  <c r="O33" i="64"/>
  <c r="N33" i="64"/>
  <c r="P32" i="64"/>
  <c r="O32" i="64"/>
  <c r="N32" i="64"/>
  <c r="P31" i="64"/>
  <c r="O31" i="64"/>
  <c r="C16" i="64" s="1"/>
  <c r="N31" i="64"/>
  <c r="P30" i="64"/>
  <c r="O30" i="64"/>
  <c r="N30" i="64"/>
  <c r="P29" i="64"/>
  <c r="O29" i="64"/>
  <c r="N29" i="64"/>
  <c r="C26" i="64"/>
  <c r="C25" i="64"/>
  <c r="C24" i="64"/>
  <c r="C23" i="64"/>
  <c r="W19" i="64"/>
  <c r="C17" i="64"/>
  <c r="N11" i="64"/>
  <c r="N10" i="64"/>
  <c r="C10" i="64"/>
  <c r="N9" i="64"/>
  <c r="B5" i="64"/>
  <c r="B4" i="64"/>
  <c r="B2" i="64"/>
  <c r="X171" i="5"/>
  <c r="W171" i="5"/>
  <c r="W170" i="5"/>
  <c r="W169" i="5"/>
  <c r="W168" i="5"/>
  <c r="X166" i="5"/>
  <c r="W166" i="5"/>
  <c r="X165" i="5"/>
  <c r="X164" i="5"/>
  <c r="C28" i="5" s="1"/>
  <c r="W164" i="5"/>
  <c r="X163" i="5"/>
  <c r="W161" i="5"/>
  <c r="W160" i="5"/>
  <c r="W159" i="5"/>
  <c r="E23" i="5" s="1"/>
  <c r="W155" i="5"/>
  <c r="G16" i="5" s="1"/>
  <c r="W154" i="5"/>
  <c r="U123" i="5" s="1"/>
  <c r="W153" i="5"/>
  <c r="C16" i="5" s="1"/>
  <c r="W150" i="5"/>
  <c r="W149" i="5"/>
  <c r="W148" i="5"/>
  <c r="W147" i="5"/>
  <c r="E8" i="5" s="1"/>
  <c r="W144" i="5"/>
  <c r="W143" i="5"/>
  <c r="W142" i="5"/>
  <c r="W141" i="5"/>
  <c r="W140" i="5"/>
  <c r="W139" i="5"/>
  <c r="W138" i="5"/>
  <c r="W137" i="5"/>
  <c r="W136" i="5"/>
  <c r="W135" i="5"/>
  <c r="W134" i="5"/>
  <c r="D45" i="5" s="1"/>
  <c r="W133" i="5"/>
  <c r="W132" i="5"/>
  <c r="W130" i="5"/>
  <c r="X128" i="5"/>
  <c r="X127" i="5"/>
  <c r="X126" i="5"/>
  <c r="V126" i="5"/>
  <c r="X125" i="5"/>
  <c r="V125" i="5"/>
  <c r="X123" i="5"/>
  <c r="X120" i="5"/>
  <c r="X119" i="5"/>
  <c r="X118" i="5"/>
  <c r="X117" i="5"/>
  <c r="X116" i="5"/>
  <c r="I85" i="5"/>
  <c r="I86" i="5" s="1"/>
  <c r="E85" i="5"/>
  <c r="E86" i="5" s="1"/>
  <c r="J84" i="5"/>
  <c r="I84" i="5"/>
  <c r="H84" i="5"/>
  <c r="G84" i="5"/>
  <c r="F84" i="5"/>
  <c r="E84" i="5"/>
  <c r="D84" i="5"/>
  <c r="C84" i="5"/>
  <c r="E81" i="5"/>
  <c r="B79" i="5"/>
  <c r="J76" i="5"/>
  <c r="J85" i="5" s="1"/>
  <c r="J86" i="5" s="1"/>
  <c r="H76" i="5"/>
  <c r="H85" i="5" s="1"/>
  <c r="H86" i="5" s="1"/>
  <c r="F76" i="5"/>
  <c r="D76" i="5"/>
  <c r="J75" i="5"/>
  <c r="I75" i="5"/>
  <c r="H75" i="5"/>
  <c r="G75" i="5"/>
  <c r="F75" i="5"/>
  <c r="E75" i="5"/>
  <c r="D75" i="5"/>
  <c r="C75" i="5"/>
  <c r="B72" i="5"/>
  <c r="E70" i="5"/>
  <c r="E69" i="5"/>
  <c r="E68" i="5"/>
  <c r="E67" i="5"/>
  <c r="C67" i="5"/>
  <c r="E66" i="5"/>
  <c r="E65" i="5"/>
  <c r="E64" i="5"/>
  <c r="E63" i="5"/>
  <c r="B62" i="5"/>
  <c r="E60" i="5"/>
  <c r="E59" i="5"/>
  <c r="C59" i="5"/>
  <c r="V128" i="5" s="1"/>
  <c r="E58" i="5"/>
  <c r="E57" i="5"/>
  <c r="E56" i="5"/>
  <c r="E55" i="5"/>
  <c r="B54" i="5"/>
  <c r="B53" i="5"/>
  <c r="E51" i="5"/>
  <c r="E50" i="5"/>
  <c r="C49" i="5"/>
  <c r="E48" i="5"/>
  <c r="C48" i="5"/>
  <c r="C50" i="5" s="1"/>
  <c r="B45" i="5"/>
  <c r="E44" i="5"/>
  <c r="B43" i="5"/>
  <c r="E41" i="5"/>
  <c r="B40" i="5"/>
  <c r="E38" i="5"/>
  <c r="E37" i="5"/>
  <c r="E36" i="5"/>
  <c r="C36" i="5"/>
  <c r="E35" i="5"/>
  <c r="E34" i="5"/>
  <c r="B32" i="5"/>
  <c r="E29" i="5"/>
  <c r="E28" i="5"/>
  <c r="E27" i="5"/>
  <c r="B26" i="5"/>
  <c r="E24" i="5"/>
  <c r="B23" i="5"/>
  <c r="B22" i="5"/>
  <c r="E20" i="5"/>
  <c r="C20" i="5"/>
  <c r="E19" i="5"/>
  <c r="E18" i="5"/>
  <c r="G17" i="5"/>
  <c r="E17" i="5"/>
  <c r="B16" i="5"/>
  <c r="B15" i="5"/>
  <c r="E13" i="5"/>
  <c r="C13" i="5"/>
  <c r="G77" i="5" s="1"/>
  <c r="E12" i="5"/>
  <c r="C12" i="5"/>
  <c r="E11" i="5"/>
  <c r="E10" i="5"/>
  <c r="E9" i="5"/>
  <c r="B8" i="5"/>
  <c r="B7" i="5"/>
  <c r="D5" i="5"/>
  <c r="D4" i="5"/>
  <c r="B2" i="5"/>
  <c r="B58" i="7"/>
  <c r="B44" i="7"/>
  <c r="B42" i="7"/>
  <c r="B41" i="7"/>
  <c r="B40" i="7"/>
  <c r="B39" i="7"/>
  <c r="M37" i="7"/>
  <c r="K37" i="7"/>
  <c r="J37" i="7"/>
  <c r="I37" i="7"/>
  <c r="G37" i="7"/>
  <c r="B37" i="7"/>
  <c r="J35" i="7"/>
  <c r="J34" i="7"/>
  <c r="J33" i="7"/>
  <c r="J32" i="7"/>
  <c r="I31" i="7"/>
  <c r="J31" i="7" s="1"/>
  <c r="I30" i="7"/>
  <c r="J30" i="7" s="1"/>
  <c r="I29" i="7"/>
  <c r="J29" i="7" s="1"/>
  <c r="I28" i="7"/>
  <c r="J28" i="7" s="1"/>
  <c r="B27" i="7"/>
  <c r="N25" i="7"/>
  <c r="L25" i="7"/>
  <c r="J25" i="7"/>
  <c r="I25" i="7"/>
  <c r="G25" i="7"/>
  <c r="B25" i="7"/>
  <c r="B24" i="7"/>
  <c r="E22" i="7"/>
  <c r="B22" i="7"/>
  <c r="E21" i="7"/>
  <c r="B21" i="7"/>
  <c r="E20" i="7"/>
  <c r="B20" i="7"/>
  <c r="E19" i="7"/>
  <c r="B19" i="7"/>
  <c r="B18" i="7"/>
  <c r="B17" i="7"/>
  <c r="D15" i="7"/>
  <c r="B15" i="7"/>
  <c r="B14" i="7"/>
  <c r="B13" i="7"/>
  <c r="B12" i="7"/>
  <c r="B11" i="7"/>
  <c r="B10" i="7"/>
  <c r="B9" i="7"/>
  <c r="B8" i="7"/>
  <c r="B7" i="7"/>
  <c r="B6" i="7"/>
  <c r="B5" i="7"/>
  <c r="B4" i="7"/>
  <c r="B4" i="5" s="1"/>
  <c r="B2" i="7"/>
  <c r="E54" i="5" l="1"/>
  <c r="C60" i="5"/>
  <c r="J62" i="57"/>
  <c r="C28" i="64"/>
  <c r="F17" i="57"/>
  <c r="F19" i="57" s="1"/>
  <c r="F21" i="57" s="1"/>
  <c r="C93" i="64"/>
  <c r="C57" i="64"/>
  <c r="J49" i="57"/>
  <c r="E16" i="5"/>
  <c r="C40" i="64"/>
  <c r="V97" i="5"/>
  <c r="U104" i="5"/>
  <c r="V121" i="5"/>
  <c r="C63" i="64"/>
  <c r="C32" i="58"/>
  <c r="C59" i="64"/>
  <c r="C59" i="58"/>
  <c r="C69" i="64"/>
  <c r="C21" i="58"/>
  <c r="C44" i="58"/>
  <c r="C52" i="58" s="1"/>
  <c r="C115" i="58"/>
  <c r="C116" i="58" s="1"/>
  <c r="C117" i="58" s="1"/>
  <c r="AB24" i="58"/>
  <c r="AB23" i="64"/>
  <c r="C38" i="5"/>
  <c r="C30" i="5"/>
  <c r="AB27" i="64"/>
  <c r="AB28" i="58"/>
  <c r="AB21" i="64"/>
  <c r="AB22" i="58"/>
  <c r="L5" i="58"/>
  <c r="L5" i="64"/>
  <c r="AB27" i="58"/>
  <c r="AB26" i="64"/>
  <c r="B5" i="5"/>
  <c r="V105" i="5"/>
  <c r="V124" i="5"/>
  <c r="V127" i="5" s="1"/>
  <c r="AB25" i="58"/>
  <c r="AB24" i="64"/>
  <c r="L4" i="64"/>
  <c r="L4" i="58"/>
  <c r="AB21" i="58"/>
  <c r="C79" i="58" s="1"/>
  <c r="C80" i="58" s="1"/>
  <c r="AB20" i="64"/>
  <c r="C76" i="64" s="1"/>
  <c r="AB23" i="58"/>
  <c r="AB22" i="64"/>
  <c r="AB25" i="64"/>
  <c r="AB26" i="58"/>
  <c r="F22" i="57"/>
  <c r="E25" i="57"/>
  <c r="D25" i="57" s="1"/>
  <c r="C29" i="64"/>
  <c r="C80" i="64"/>
  <c r="C30" i="64"/>
  <c r="G81" i="58"/>
  <c r="C48" i="64"/>
  <c r="C50" i="64" s="1"/>
  <c r="C45" i="64"/>
  <c r="C44" i="64"/>
  <c r="C55" i="64"/>
  <c r="C71" i="64" s="1"/>
  <c r="C73" i="64" s="1"/>
  <c r="C107" i="58"/>
  <c r="C121" i="58"/>
  <c r="C122" i="58" s="1"/>
  <c r="C99" i="64"/>
  <c r="C67" i="58"/>
  <c r="C104" i="58"/>
  <c r="C105" i="58" s="1"/>
  <c r="C106" i="58" s="1"/>
  <c r="G77" i="64"/>
  <c r="C96" i="64"/>
  <c r="C97" i="64" s="1"/>
  <c r="C98" i="64" s="1"/>
  <c r="C13" i="58"/>
  <c r="C14" i="58" s="1"/>
  <c r="C48" i="58"/>
  <c r="C63" i="58"/>
  <c r="C74" i="58" s="1"/>
  <c r="C76" i="58" s="1"/>
  <c r="C85" i="58"/>
  <c r="C86" i="58" s="1"/>
  <c r="C87" i="58" s="1"/>
  <c r="C123" i="58"/>
  <c r="C76" i="5"/>
  <c r="F85" i="5"/>
  <c r="F86" i="5" s="1"/>
  <c r="C41" i="5"/>
  <c r="C44" i="5" s="1"/>
  <c r="C63" i="5"/>
  <c r="C65" i="5" s="1"/>
  <c r="C77" i="5"/>
  <c r="D85" i="5"/>
  <c r="D86" i="5" s="1"/>
  <c r="G76" i="5"/>
  <c r="G85" i="5" s="1"/>
  <c r="G86" i="5" s="1"/>
  <c r="C51" i="5" l="1"/>
  <c r="C118" i="58"/>
  <c r="C72" i="64"/>
  <c r="C75" i="58"/>
  <c r="C53" i="58"/>
  <c r="C33" i="58"/>
  <c r="C34" i="58"/>
  <c r="C64" i="5"/>
  <c r="C101" i="64"/>
  <c r="C102" i="64" s="1"/>
  <c r="C104" i="64"/>
  <c r="C105" i="64" s="1"/>
  <c r="C49" i="64"/>
  <c r="C54" i="58"/>
  <c r="C109" i="58"/>
  <c r="C110" i="58" s="1"/>
  <c r="C112" i="58"/>
  <c r="C113" i="58" s="1"/>
  <c r="V117" i="5"/>
  <c r="V113" i="5"/>
  <c r="V108" i="5"/>
  <c r="V120" i="5" s="1"/>
  <c r="V112" i="5"/>
  <c r="V107" i="5"/>
  <c r="V114" i="5"/>
  <c r="V110" i="5"/>
  <c r="V115" i="5"/>
  <c r="V118" i="5"/>
  <c r="V111" i="5"/>
  <c r="V106" i="5"/>
  <c r="C85" i="5"/>
  <c r="C86" i="5" s="1"/>
  <c r="C66" i="5"/>
  <c r="C68" i="5" s="1"/>
  <c r="C70" i="5" s="1"/>
  <c r="C87" i="5" l="1"/>
  <c r="E87" i="5"/>
  <c r="J87" i="5"/>
  <c r="H87" i="5"/>
  <c r="I87" i="5"/>
  <c r="F87" i="5"/>
  <c r="D87" i="5"/>
  <c r="G8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Johan De Clercq</author>
    <author>declej</author>
  </authors>
  <commentList>
    <comment ref="C16" authorId="0" shapeId="0" xr:uid="{00000000-0006-0000-0800-000001000000}">
      <text>
        <r>
          <rPr>
            <sz val="8"/>
            <color indexed="81"/>
            <rFont val="Tahoma"/>
            <family val="2"/>
          </rPr>
          <t xml:space="preserve">
</t>
        </r>
      </text>
    </comment>
    <comment ref="E16" authorId="0" shapeId="0" xr:uid="{00000000-0006-0000-0800-000002000000}">
      <text>
        <r>
          <rPr>
            <sz val="8"/>
            <color indexed="81"/>
            <rFont val="Tahoma"/>
            <family val="2"/>
          </rPr>
          <t xml:space="preserve">
</t>
        </r>
      </text>
    </comment>
    <comment ref="G16" authorId="1" shapeId="0" xr:uid="{00000000-0006-0000-0800-000003000000}">
      <text>
        <r>
          <rPr>
            <sz val="9"/>
            <color indexed="81"/>
            <rFont val="Tahoma"/>
            <family val="2"/>
          </rPr>
          <t xml:space="preserve">
</t>
        </r>
      </text>
    </comment>
  </commentList>
</comments>
</file>

<file path=xl/sharedStrings.xml><?xml version="1.0" encoding="utf-8"?>
<sst xmlns="http://schemas.openxmlformats.org/spreadsheetml/2006/main" count="1032" uniqueCount="418">
  <si>
    <t>I</t>
  </si>
  <si>
    <t>II</t>
  </si>
  <si>
    <t>III</t>
  </si>
  <si>
    <t>Deutsch</t>
  </si>
  <si>
    <t>English</t>
  </si>
  <si>
    <t>Français</t>
  </si>
  <si>
    <t>Nederlands</t>
  </si>
  <si>
    <t>m</t>
  </si>
  <si>
    <t>IV</t>
  </si>
  <si>
    <t>s</t>
  </si>
  <si>
    <t>R</t>
  </si>
  <si>
    <t>Zmin</t>
  </si>
  <si>
    <r>
      <t>Z</t>
    </r>
    <r>
      <rPr>
        <b/>
        <vertAlign val="subscript"/>
        <sz val="10"/>
        <color theme="1"/>
        <rFont val="Arial"/>
        <family val="2"/>
      </rPr>
      <t>0</t>
    </r>
  </si>
  <si>
    <t>kl</t>
  </si>
  <si>
    <r>
      <t>c</t>
    </r>
    <r>
      <rPr>
        <vertAlign val="subscript"/>
        <sz val="11"/>
        <color theme="1"/>
        <rFont val="Arial"/>
        <family val="2"/>
      </rPr>
      <t>o</t>
    </r>
  </si>
  <si>
    <t>Iv(z)</t>
  </si>
  <si>
    <t>ρ</t>
  </si>
  <si>
    <t>q(z)</t>
  </si>
  <si>
    <t>r</t>
  </si>
  <si>
    <t>N/m²</t>
  </si>
  <si>
    <t>X</t>
  </si>
  <si>
    <t>IIIa</t>
  </si>
  <si>
    <t>IIIb</t>
  </si>
  <si>
    <t>Le</t>
  </si>
  <si>
    <t>A</t>
  </si>
  <si>
    <t>B</t>
  </si>
  <si>
    <t>alfa</t>
  </si>
  <si>
    <t>kred</t>
  </si>
  <si>
    <t>Smax</t>
  </si>
  <si>
    <t>L</t>
  </si>
  <si>
    <t>h</t>
  </si>
  <si>
    <t>d</t>
  </si>
  <si>
    <t>b</t>
  </si>
  <si>
    <t>kg/m³</t>
  </si>
  <si>
    <t>Zone 1</t>
  </si>
  <si>
    <t>Zone 2</t>
  </si>
  <si>
    <t>Zone 3</t>
  </si>
  <si>
    <t>Zone 4</t>
  </si>
  <si>
    <t>upwind</t>
  </si>
  <si>
    <t>upwind and downwind hils</t>
  </si>
  <si>
    <t>downwind cliffs</t>
  </si>
  <si>
    <t>downwind hils</t>
  </si>
  <si>
    <t>C</t>
  </si>
  <si>
    <t>H</t>
  </si>
  <si>
    <t>Lu</t>
  </si>
  <si>
    <t>Ld</t>
  </si>
  <si>
    <t>downwind cliffs 0&lt; X/Le&lt;0,1</t>
  </si>
  <si>
    <t>downwind cliffs X/Le&gt;0,1</t>
  </si>
  <si>
    <r>
      <t>E</t>
    </r>
    <r>
      <rPr>
        <vertAlign val="subscript"/>
        <sz val="10"/>
        <color theme="1"/>
        <rFont val="Arial"/>
        <family val="2"/>
      </rPr>
      <t>modulus</t>
    </r>
  </si>
  <si>
    <r>
      <t>Inox - X5CrNi 8-10 - 1,4301 - e &lt; 8 mm R</t>
    </r>
    <r>
      <rPr>
        <vertAlign val="subscript"/>
        <sz val="10"/>
        <color theme="1"/>
        <rFont val="Arial"/>
        <family val="2"/>
      </rPr>
      <t>p0,2</t>
    </r>
  </si>
  <si>
    <r>
      <t>Inox - X5CrNi 8-10 - 1,4301 - e &lt; 75 mm R</t>
    </r>
    <r>
      <rPr>
        <vertAlign val="subscript"/>
        <sz val="10"/>
        <color theme="1"/>
        <rFont val="Arial"/>
        <family val="2"/>
      </rPr>
      <t>p0,2</t>
    </r>
  </si>
  <si>
    <t>N/mm²</t>
  </si>
  <si>
    <t>mm</t>
  </si>
  <si>
    <r>
      <rPr>
        <sz val="14"/>
        <color theme="1"/>
        <rFont val="Times New Roman"/>
        <family val="1"/>
      </rPr>
      <t>χ</t>
    </r>
    <r>
      <rPr>
        <vertAlign val="subscript"/>
        <sz val="10"/>
        <color theme="1"/>
        <rFont val="Arial"/>
        <family val="2"/>
      </rPr>
      <t>d</t>
    </r>
  </si>
  <si>
    <r>
      <t xml:space="preserve"> k</t>
    </r>
    <r>
      <rPr>
        <vertAlign val="subscript"/>
        <sz val="10"/>
        <color theme="1"/>
        <rFont val="Arial"/>
        <family val="2"/>
      </rPr>
      <t>sp</t>
    </r>
  </si>
  <si>
    <t>W</t>
  </si>
  <si>
    <r>
      <rPr>
        <sz val="14"/>
        <color theme="1"/>
        <rFont val="Times New Roman"/>
        <family val="1"/>
      </rPr>
      <t>χ</t>
    </r>
    <r>
      <rPr>
        <vertAlign val="subscript"/>
        <sz val="10"/>
        <color theme="1"/>
        <rFont val="Arial"/>
        <family val="2"/>
      </rPr>
      <t>k</t>
    </r>
  </si>
  <si>
    <r>
      <rPr>
        <sz val="14"/>
        <color theme="1"/>
        <rFont val="Times New Roman"/>
        <family val="1"/>
      </rPr>
      <t xml:space="preserve"> γ</t>
    </r>
    <r>
      <rPr>
        <vertAlign val="subscript"/>
        <sz val="10"/>
        <color theme="1"/>
        <rFont val="Arial"/>
        <family val="2"/>
      </rPr>
      <t>M</t>
    </r>
  </si>
  <si>
    <t>m²</t>
  </si>
  <si>
    <r>
      <t>k</t>
    </r>
    <r>
      <rPr>
        <vertAlign val="subscript"/>
        <sz val="10"/>
        <color theme="1"/>
        <rFont val="Arial"/>
        <family val="2"/>
      </rPr>
      <t>1</t>
    </r>
  </si>
  <si>
    <t>Q</t>
  </si>
  <si>
    <r>
      <t>C</t>
    </r>
    <r>
      <rPr>
        <vertAlign val="subscript"/>
        <sz val="10"/>
        <color theme="1"/>
        <rFont val="Arial"/>
        <family val="2"/>
      </rPr>
      <t>pe,10</t>
    </r>
  </si>
  <si>
    <r>
      <t>C</t>
    </r>
    <r>
      <rPr>
        <vertAlign val="subscript"/>
        <sz val="10"/>
        <color theme="1"/>
        <rFont val="Arial"/>
        <family val="2"/>
      </rPr>
      <t>pe,1</t>
    </r>
  </si>
  <si>
    <r>
      <t>C</t>
    </r>
    <r>
      <rPr>
        <vertAlign val="subscript"/>
        <sz val="10"/>
        <color theme="1"/>
        <rFont val="Arial"/>
        <family val="2"/>
      </rPr>
      <t>pe,A</t>
    </r>
  </si>
  <si>
    <r>
      <t>C</t>
    </r>
    <r>
      <rPr>
        <vertAlign val="subscript"/>
        <sz val="10"/>
        <color theme="1"/>
        <rFont val="Arial"/>
        <family val="2"/>
      </rPr>
      <t>p</t>
    </r>
  </si>
  <si>
    <r>
      <t>e</t>
    </r>
    <r>
      <rPr>
        <vertAlign val="subscript"/>
        <sz val="10"/>
        <color theme="1"/>
        <rFont val="Arial"/>
        <family val="2"/>
      </rPr>
      <t>1</t>
    </r>
    <r>
      <rPr>
        <sz val="10"/>
        <color theme="1"/>
        <rFont val="Arial"/>
        <family val="2"/>
      </rPr>
      <t>/5</t>
    </r>
  </si>
  <si>
    <r>
      <t>e</t>
    </r>
    <r>
      <rPr>
        <vertAlign val="subscript"/>
        <sz val="10"/>
        <color theme="1"/>
        <rFont val="Arial"/>
        <family val="2"/>
      </rPr>
      <t>2</t>
    </r>
    <r>
      <rPr>
        <sz val="10"/>
        <color theme="1"/>
        <rFont val="Arial"/>
        <family val="2"/>
      </rPr>
      <t>/5</t>
    </r>
  </si>
  <si>
    <r>
      <t>Z</t>
    </r>
    <r>
      <rPr>
        <vertAlign val="subscript"/>
        <sz val="10"/>
        <color theme="1"/>
        <rFont val="Arial"/>
        <family val="2"/>
      </rPr>
      <t>e</t>
    </r>
  </si>
  <si>
    <r>
      <t>Z</t>
    </r>
    <r>
      <rPr>
        <vertAlign val="subscript"/>
        <sz val="10"/>
        <color theme="1"/>
        <rFont val="Arial"/>
        <family val="2"/>
      </rPr>
      <t>o</t>
    </r>
  </si>
  <si>
    <r>
      <t>Z</t>
    </r>
    <r>
      <rPr>
        <vertAlign val="subscript"/>
        <sz val="10"/>
        <color theme="1"/>
        <rFont val="Arial"/>
        <family val="2"/>
      </rPr>
      <t>min</t>
    </r>
  </si>
  <si>
    <r>
      <t>k</t>
    </r>
    <r>
      <rPr>
        <vertAlign val="subscript"/>
        <sz val="10"/>
        <color theme="1"/>
        <rFont val="Arial"/>
        <family val="2"/>
      </rPr>
      <t>r</t>
    </r>
  </si>
  <si>
    <r>
      <t>C</t>
    </r>
    <r>
      <rPr>
        <vertAlign val="subscript"/>
        <sz val="10"/>
        <color theme="1"/>
        <rFont val="Arial"/>
        <family val="2"/>
      </rPr>
      <t>r</t>
    </r>
  </si>
  <si>
    <r>
      <t>Φ = H/L</t>
    </r>
    <r>
      <rPr>
        <vertAlign val="subscript"/>
        <sz val="10"/>
        <color theme="1"/>
        <rFont val="Arial"/>
        <family val="2"/>
      </rPr>
      <t>u</t>
    </r>
  </si>
  <si>
    <r>
      <t>c</t>
    </r>
    <r>
      <rPr>
        <vertAlign val="subscript"/>
        <sz val="10"/>
        <color theme="1"/>
        <rFont val="Arial"/>
        <family val="2"/>
      </rPr>
      <t>o</t>
    </r>
  </si>
  <si>
    <r>
      <t>σ</t>
    </r>
    <r>
      <rPr>
        <vertAlign val="subscript"/>
        <sz val="10"/>
        <color theme="1"/>
        <rFont val="Arial"/>
        <family val="2"/>
      </rPr>
      <t>v</t>
    </r>
  </si>
  <si>
    <r>
      <t>v</t>
    </r>
    <r>
      <rPr>
        <vertAlign val="subscript"/>
        <sz val="10"/>
        <color theme="1"/>
        <rFont val="Arial"/>
        <family val="2"/>
      </rPr>
      <t>m</t>
    </r>
    <r>
      <rPr>
        <sz val="10"/>
        <color theme="1"/>
        <rFont val="Arial"/>
        <family val="2"/>
      </rPr>
      <t>(z)</t>
    </r>
  </si>
  <si>
    <r>
      <rPr>
        <sz val="10"/>
        <color theme="1"/>
        <rFont val="Times New Roman"/>
        <family val="1"/>
      </rPr>
      <t>ν</t>
    </r>
    <r>
      <rPr>
        <vertAlign val="subscript"/>
        <sz val="10"/>
        <color theme="1"/>
        <rFont val="Arial"/>
        <family val="2"/>
      </rPr>
      <t>b,0</t>
    </r>
  </si>
  <si>
    <r>
      <t>c</t>
    </r>
    <r>
      <rPr>
        <vertAlign val="subscript"/>
        <sz val="10"/>
        <color theme="1"/>
        <rFont val="Arial"/>
        <family val="2"/>
      </rPr>
      <t>DIR</t>
    </r>
  </si>
  <si>
    <r>
      <t>c</t>
    </r>
    <r>
      <rPr>
        <vertAlign val="subscript"/>
        <sz val="10"/>
        <color theme="1"/>
        <rFont val="Arial"/>
        <family val="2"/>
      </rPr>
      <t>season</t>
    </r>
  </si>
  <si>
    <r>
      <rPr>
        <sz val="10"/>
        <color theme="1"/>
        <rFont val="Times New Roman"/>
        <family val="1"/>
      </rPr>
      <t>ν</t>
    </r>
    <r>
      <rPr>
        <vertAlign val="subscript"/>
        <sz val="10"/>
        <color theme="1"/>
        <rFont val="Arial"/>
        <family val="2"/>
      </rPr>
      <t>b</t>
    </r>
  </si>
  <si>
    <r>
      <t>h</t>
    </r>
    <r>
      <rPr>
        <vertAlign val="subscript"/>
        <sz val="10"/>
        <color theme="1"/>
        <rFont val="Arial"/>
        <family val="2"/>
      </rPr>
      <t>dis1</t>
    </r>
  </si>
  <si>
    <r>
      <t>h</t>
    </r>
    <r>
      <rPr>
        <vertAlign val="subscript"/>
        <sz val="10"/>
        <color theme="1"/>
        <rFont val="Arial"/>
        <family val="2"/>
      </rPr>
      <t>ave</t>
    </r>
  </si>
  <si>
    <r>
      <t>x</t>
    </r>
    <r>
      <rPr>
        <vertAlign val="subscript"/>
        <sz val="10"/>
        <color theme="1"/>
        <rFont val="Arial"/>
        <family val="2"/>
      </rPr>
      <t>1</t>
    </r>
  </si>
  <si>
    <r>
      <t>h</t>
    </r>
    <r>
      <rPr>
        <vertAlign val="subscript"/>
        <sz val="10"/>
        <color theme="1"/>
        <rFont val="Arial"/>
        <family val="2"/>
      </rPr>
      <t>dis2</t>
    </r>
  </si>
  <si>
    <r>
      <t>d</t>
    </r>
    <r>
      <rPr>
        <vertAlign val="subscript"/>
        <sz val="10"/>
        <color theme="1"/>
        <rFont val="Arial"/>
        <family val="2"/>
      </rPr>
      <t>large</t>
    </r>
  </si>
  <si>
    <r>
      <t>h</t>
    </r>
    <r>
      <rPr>
        <vertAlign val="subscript"/>
        <sz val="10"/>
        <color theme="1"/>
        <rFont val="Arial"/>
        <family val="2"/>
      </rPr>
      <t>high</t>
    </r>
  </si>
  <si>
    <r>
      <t>x</t>
    </r>
    <r>
      <rPr>
        <vertAlign val="subscript"/>
        <sz val="10"/>
        <color theme="1"/>
        <rFont val="Arial"/>
        <family val="2"/>
      </rPr>
      <t>2</t>
    </r>
  </si>
  <si>
    <r>
      <t>Z</t>
    </r>
    <r>
      <rPr>
        <vertAlign val="subscript"/>
        <sz val="10"/>
        <color theme="1"/>
        <rFont val="Arial"/>
        <family val="2"/>
      </rPr>
      <t>n</t>
    </r>
  </si>
  <si>
    <t>Klasse</t>
  </si>
  <si>
    <t>Geen</t>
  </si>
  <si>
    <r>
      <t>a</t>
    </r>
    <r>
      <rPr>
        <vertAlign val="subscript"/>
        <sz val="10"/>
        <color theme="1"/>
        <rFont val="Arial"/>
        <family val="2"/>
      </rPr>
      <t>1</t>
    </r>
  </si>
  <si>
    <r>
      <t>a</t>
    </r>
    <r>
      <rPr>
        <vertAlign val="subscript"/>
        <sz val="10"/>
        <color theme="1"/>
        <rFont val="Arial"/>
        <family val="2"/>
      </rPr>
      <t>2</t>
    </r>
  </si>
  <si>
    <t>N</t>
  </si>
  <si>
    <r>
      <rPr>
        <sz val="14"/>
        <color theme="1"/>
        <rFont val="Times New Roman"/>
        <family val="1"/>
      </rPr>
      <t>γ</t>
    </r>
    <r>
      <rPr>
        <vertAlign val="subscript"/>
        <sz val="10"/>
        <color theme="1"/>
        <rFont val="Arial"/>
        <family val="2"/>
      </rPr>
      <t>g</t>
    </r>
  </si>
  <si>
    <t>m/s</t>
  </si>
  <si>
    <t>Krachten op de verbinding</t>
  </si>
  <si>
    <t>Totaal</t>
  </si>
  <si>
    <t>Type</t>
  </si>
  <si>
    <t>Materiaal</t>
  </si>
  <si>
    <t>Legering</t>
  </si>
  <si>
    <t>Diameter</t>
  </si>
  <si>
    <r>
      <t>f</t>
    </r>
    <r>
      <rPr>
        <vertAlign val="subscript"/>
        <sz val="10"/>
        <color theme="1"/>
        <rFont val="Arial"/>
        <family val="2"/>
      </rPr>
      <t>0</t>
    </r>
    <r>
      <rPr>
        <sz val="10"/>
        <color theme="1"/>
        <rFont val="Arial"/>
        <family val="2"/>
      </rPr>
      <t xml:space="preserve"> N/mm2</t>
    </r>
  </si>
  <si>
    <r>
      <t>f</t>
    </r>
    <r>
      <rPr>
        <vertAlign val="subscript"/>
        <sz val="10"/>
        <color theme="1"/>
        <rFont val="Arial"/>
        <family val="2"/>
      </rPr>
      <t>u</t>
    </r>
    <r>
      <rPr>
        <sz val="10"/>
        <color theme="1"/>
        <rFont val="Arial"/>
        <family val="2"/>
      </rPr>
      <t xml:space="preserve"> N/mm2</t>
    </r>
  </si>
  <si>
    <r>
      <t>α</t>
    </r>
    <r>
      <rPr>
        <vertAlign val="subscript"/>
        <sz val="10"/>
        <color theme="1"/>
        <rFont val="Arial"/>
        <family val="2"/>
      </rPr>
      <t>v draad</t>
    </r>
  </si>
  <si>
    <r>
      <t>α</t>
    </r>
    <r>
      <rPr>
        <vertAlign val="subscript"/>
        <sz val="10"/>
        <color theme="1"/>
        <rFont val="Arial"/>
        <family val="2"/>
      </rPr>
      <t>v schacht</t>
    </r>
  </si>
  <si>
    <t>Staal</t>
  </si>
  <si>
    <t>4.6</t>
  </si>
  <si>
    <t>≤ 39</t>
  </si>
  <si>
    <t>draad</t>
  </si>
  <si>
    <t>5.6</t>
  </si>
  <si>
    <t>schacht</t>
  </si>
  <si>
    <t>6.8</t>
  </si>
  <si>
    <t>Stuikspanning in het profiel</t>
  </si>
  <si>
    <t>8.8</t>
  </si>
  <si>
    <r>
      <t>F</t>
    </r>
    <r>
      <rPr>
        <vertAlign val="subscript"/>
        <sz val="10"/>
        <color theme="1"/>
        <rFont val="Arial"/>
        <family val="2"/>
      </rPr>
      <t>b,Rd</t>
    </r>
  </si>
  <si>
    <r>
      <t>F</t>
    </r>
    <r>
      <rPr>
        <vertAlign val="subscript"/>
        <sz val="10"/>
        <color theme="1"/>
        <rFont val="Arial"/>
        <family val="2"/>
      </rPr>
      <t>b,Rd</t>
    </r>
    <r>
      <rPr>
        <sz val="10"/>
        <color theme="1"/>
        <rFont val="Arial"/>
        <family val="2"/>
      </rPr>
      <t>= k</t>
    </r>
    <r>
      <rPr>
        <vertAlign val="subscript"/>
        <sz val="10"/>
        <color theme="1"/>
        <rFont val="Arial"/>
        <family val="2"/>
      </rPr>
      <t>1</t>
    </r>
    <r>
      <rPr>
        <sz val="10"/>
        <color theme="1"/>
        <rFont val="Arial"/>
        <family val="2"/>
      </rPr>
      <t>*α</t>
    </r>
    <r>
      <rPr>
        <vertAlign val="subscript"/>
        <sz val="10"/>
        <color theme="1"/>
        <rFont val="Arial"/>
        <family val="2"/>
      </rPr>
      <t>b</t>
    </r>
    <r>
      <rPr>
        <sz val="10"/>
        <color theme="1"/>
        <rFont val="Arial"/>
        <family val="2"/>
      </rPr>
      <t>*f</t>
    </r>
    <r>
      <rPr>
        <vertAlign val="subscript"/>
        <sz val="10"/>
        <color theme="1"/>
        <rFont val="Arial"/>
        <family val="2"/>
      </rPr>
      <t>u</t>
    </r>
    <r>
      <rPr>
        <sz val="10"/>
        <color theme="1"/>
        <rFont val="Arial"/>
        <family val="2"/>
      </rPr>
      <t>*d*t/ γ</t>
    </r>
    <r>
      <rPr>
        <vertAlign val="subscript"/>
        <sz val="10"/>
        <color theme="1"/>
        <rFont val="Arial"/>
        <family val="2"/>
      </rPr>
      <t>M2</t>
    </r>
  </si>
  <si>
    <t>10.9</t>
  </si>
  <si>
    <r>
      <t>k</t>
    </r>
    <r>
      <rPr>
        <vertAlign val="subscript"/>
        <sz val="10"/>
        <color theme="1"/>
        <rFont val="Arial"/>
        <family val="2"/>
      </rPr>
      <t>1</t>
    </r>
    <r>
      <rPr>
        <sz val="10"/>
        <color theme="1"/>
        <rFont val="Arial"/>
        <family val="2"/>
      </rPr>
      <t>=min(2,8*e</t>
    </r>
    <r>
      <rPr>
        <vertAlign val="subscript"/>
        <sz val="10"/>
        <color theme="1"/>
        <rFont val="Arial"/>
        <family val="2"/>
      </rPr>
      <t>2</t>
    </r>
    <r>
      <rPr>
        <sz val="10"/>
        <color theme="1"/>
        <rFont val="Arial"/>
        <family val="2"/>
      </rPr>
      <t>/d</t>
    </r>
    <r>
      <rPr>
        <vertAlign val="subscript"/>
        <sz val="10"/>
        <color theme="1"/>
        <rFont val="Arial"/>
        <family val="2"/>
      </rPr>
      <t>0</t>
    </r>
    <r>
      <rPr>
        <sz val="10"/>
        <color theme="1"/>
        <rFont val="Arial"/>
        <family val="2"/>
      </rPr>
      <t>-1,7; 2,5)</t>
    </r>
  </si>
  <si>
    <t>Inox</t>
  </si>
  <si>
    <t>A2, A4</t>
  </si>
  <si>
    <r>
      <t>e</t>
    </r>
    <r>
      <rPr>
        <vertAlign val="subscript"/>
        <sz val="10"/>
        <color theme="1"/>
        <rFont val="Arial"/>
        <family val="2"/>
      </rPr>
      <t>2</t>
    </r>
  </si>
  <si>
    <t xml:space="preserve">randafstand </t>
  </si>
  <si>
    <t>diameter van de bout</t>
  </si>
  <si>
    <r>
      <t>d</t>
    </r>
    <r>
      <rPr>
        <vertAlign val="subscript"/>
        <sz val="10"/>
        <color theme="1"/>
        <rFont val="Arial"/>
        <family val="2"/>
      </rPr>
      <t>0</t>
    </r>
  </si>
  <si>
    <r>
      <t>t</t>
    </r>
    <r>
      <rPr>
        <vertAlign val="subscript"/>
        <sz val="10"/>
        <color theme="1"/>
        <rFont val="Arial"/>
        <family val="2"/>
      </rPr>
      <t>profiel</t>
    </r>
  </si>
  <si>
    <t>wanddikte van de profiel</t>
  </si>
  <si>
    <t>sleufgat</t>
  </si>
  <si>
    <r>
      <t>α</t>
    </r>
    <r>
      <rPr>
        <vertAlign val="subscript"/>
        <sz val="10"/>
        <color theme="1"/>
        <rFont val="Arial"/>
        <family val="2"/>
      </rPr>
      <t>b</t>
    </r>
  </si>
  <si>
    <r>
      <t>α</t>
    </r>
    <r>
      <rPr>
        <vertAlign val="subscript"/>
        <sz val="10"/>
        <color theme="1"/>
        <rFont val="Arial"/>
        <family val="2"/>
      </rPr>
      <t>b</t>
    </r>
    <r>
      <rPr>
        <sz val="10"/>
        <color theme="1"/>
        <rFont val="Arial"/>
        <family val="2"/>
      </rPr>
      <t xml:space="preserve"> = min(e</t>
    </r>
    <r>
      <rPr>
        <vertAlign val="subscript"/>
        <sz val="10"/>
        <color theme="1"/>
        <rFont val="Arial"/>
        <family val="2"/>
      </rPr>
      <t>1</t>
    </r>
    <r>
      <rPr>
        <sz val="10"/>
        <color theme="1"/>
        <rFont val="Arial"/>
        <family val="2"/>
      </rPr>
      <t>/3d</t>
    </r>
    <r>
      <rPr>
        <vertAlign val="subscript"/>
        <sz val="10"/>
        <color theme="1"/>
        <rFont val="Arial"/>
        <family val="2"/>
      </rPr>
      <t>0</t>
    </r>
    <r>
      <rPr>
        <sz val="10"/>
        <color theme="1"/>
        <rFont val="Arial"/>
        <family val="2"/>
      </rPr>
      <t>; 1, f</t>
    </r>
    <r>
      <rPr>
        <vertAlign val="subscript"/>
        <sz val="10"/>
        <color theme="1"/>
        <rFont val="Arial"/>
        <family val="2"/>
      </rPr>
      <t>ub</t>
    </r>
    <r>
      <rPr>
        <sz val="10"/>
        <color theme="1"/>
        <rFont val="Arial"/>
        <family val="2"/>
      </rPr>
      <t>/f</t>
    </r>
    <r>
      <rPr>
        <vertAlign val="subscript"/>
        <sz val="10"/>
        <color theme="1"/>
        <rFont val="Arial"/>
        <family val="2"/>
      </rPr>
      <t>u</t>
    </r>
    <r>
      <rPr>
        <sz val="10"/>
        <color theme="1"/>
        <rFont val="Arial"/>
        <family val="2"/>
      </rPr>
      <t>)</t>
    </r>
  </si>
  <si>
    <r>
      <rPr>
        <sz val="10"/>
        <color theme="1"/>
        <rFont val="Times New Roman"/>
        <family val="1"/>
      </rPr>
      <t>γ</t>
    </r>
    <r>
      <rPr>
        <vertAlign val="subscript"/>
        <sz val="10"/>
        <color theme="1"/>
        <rFont val="Arial"/>
        <family val="2"/>
      </rPr>
      <t>M2profiel</t>
    </r>
  </si>
  <si>
    <t>partiele veiligheidscoefficient van doorsnede</t>
  </si>
  <si>
    <r>
      <t>f</t>
    </r>
    <r>
      <rPr>
        <vertAlign val="subscript"/>
        <sz val="10"/>
        <color theme="1"/>
        <rFont val="Arial"/>
        <family val="2"/>
      </rPr>
      <t>u</t>
    </r>
  </si>
  <si>
    <t>karakteristieke uiterste treksterkte van het profiel</t>
  </si>
  <si>
    <r>
      <t>f</t>
    </r>
    <r>
      <rPr>
        <vertAlign val="subscript"/>
        <sz val="10"/>
        <color theme="1"/>
        <rFont val="Arial"/>
        <family val="2"/>
      </rPr>
      <t>ub</t>
    </r>
  </si>
  <si>
    <t>karakteristieke uiterste treksterkte van de bout</t>
  </si>
  <si>
    <r>
      <t>e</t>
    </r>
    <r>
      <rPr>
        <vertAlign val="subscript"/>
        <sz val="10"/>
        <color theme="1"/>
        <rFont val="Arial"/>
        <family val="2"/>
      </rPr>
      <t>1</t>
    </r>
  </si>
  <si>
    <t>Stuikspanning in het anker</t>
  </si>
  <si>
    <r>
      <t>t</t>
    </r>
    <r>
      <rPr>
        <vertAlign val="subscript"/>
        <sz val="10"/>
        <color theme="1"/>
        <rFont val="Arial"/>
        <family val="2"/>
      </rPr>
      <t>anker</t>
    </r>
  </si>
  <si>
    <t>wanddikte van het anker</t>
  </si>
  <si>
    <r>
      <rPr>
        <sz val="10"/>
        <color theme="1"/>
        <rFont val="Times New Roman"/>
        <family val="1"/>
      </rPr>
      <t>γ</t>
    </r>
    <r>
      <rPr>
        <vertAlign val="subscript"/>
        <sz val="10"/>
        <color theme="1"/>
        <rFont val="Arial"/>
        <family val="2"/>
      </rPr>
      <t>M2anker</t>
    </r>
  </si>
  <si>
    <t>karakteristieke uiterste treksterkte van het anker</t>
  </si>
  <si>
    <t>Afschuifweerstand in de bout</t>
  </si>
  <si>
    <r>
      <t>F</t>
    </r>
    <r>
      <rPr>
        <vertAlign val="subscript"/>
        <sz val="10"/>
        <color theme="1"/>
        <rFont val="Arial"/>
        <family val="2"/>
      </rPr>
      <t>v,Rd</t>
    </r>
  </si>
  <si>
    <r>
      <t>F</t>
    </r>
    <r>
      <rPr>
        <vertAlign val="subscript"/>
        <sz val="10"/>
        <color theme="1"/>
        <rFont val="Arial"/>
        <family val="2"/>
      </rPr>
      <t>v,Rd</t>
    </r>
    <r>
      <rPr>
        <sz val="10"/>
        <color theme="1"/>
        <rFont val="Arial"/>
        <family val="2"/>
      </rPr>
      <t xml:space="preserve">= </t>
    </r>
    <r>
      <rPr>
        <sz val="10"/>
        <color theme="1"/>
        <rFont val="Arial"/>
        <family val="2"/>
      </rPr>
      <t>α</t>
    </r>
    <r>
      <rPr>
        <vertAlign val="subscript"/>
        <sz val="10"/>
        <color theme="1"/>
        <rFont val="Arial"/>
        <family val="2"/>
      </rPr>
      <t>v</t>
    </r>
    <r>
      <rPr>
        <sz val="10"/>
        <color theme="1"/>
        <rFont val="Arial"/>
        <family val="2"/>
      </rPr>
      <t>*f</t>
    </r>
    <r>
      <rPr>
        <vertAlign val="subscript"/>
        <sz val="10"/>
        <color theme="1"/>
        <rFont val="Arial"/>
        <family val="2"/>
      </rPr>
      <t>ub</t>
    </r>
    <r>
      <rPr>
        <sz val="10"/>
        <color theme="1"/>
        <rFont val="Arial"/>
        <family val="2"/>
      </rPr>
      <t>*A/ γ</t>
    </r>
    <r>
      <rPr>
        <vertAlign val="subscript"/>
        <sz val="10"/>
        <color theme="1"/>
        <rFont val="Arial"/>
        <family val="2"/>
      </rPr>
      <t>M2</t>
    </r>
  </si>
  <si>
    <r>
      <t>α</t>
    </r>
    <r>
      <rPr>
        <vertAlign val="subscript"/>
        <sz val="10"/>
        <color theme="1"/>
        <rFont val="Arial"/>
        <family val="2"/>
      </rPr>
      <t>v</t>
    </r>
  </si>
  <si>
    <t>partiele veiligheidscoefficient  van de bout of pen op afschuiving</t>
  </si>
  <si>
    <r>
      <t>A</t>
    </r>
    <r>
      <rPr>
        <vertAlign val="subscript"/>
        <sz val="10"/>
        <color theme="1"/>
        <rFont val="Arial"/>
        <family val="2"/>
      </rPr>
      <t>S</t>
    </r>
  </si>
  <si>
    <r>
      <t>A</t>
    </r>
    <r>
      <rPr>
        <vertAlign val="subscript"/>
        <sz val="10"/>
        <color theme="1"/>
        <rFont val="Arial"/>
        <family val="2"/>
      </rPr>
      <t>0</t>
    </r>
  </si>
  <si>
    <t>...</t>
  </si>
  <si>
    <t>M5</t>
  </si>
  <si>
    <t>M6</t>
  </si>
  <si>
    <t>M8</t>
  </si>
  <si>
    <t>M10</t>
  </si>
  <si>
    <t>M12</t>
  </si>
  <si>
    <t>M14</t>
  </si>
  <si>
    <t>M16</t>
  </si>
  <si>
    <t>M18</t>
  </si>
  <si>
    <t>M20</t>
  </si>
  <si>
    <t>M22</t>
  </si>
  <si>
    <t>M24</t>
  </si>
  <si>
    <t>M27</t>
  </si>
  <si>
    <t>M30</t>
  </si>
  <si>
    <t>M33</t>
  </si>
  <si>
    <t>M36</t>
  </si>
  <si>
    <t>M39</t>
  </si>
  <si>
    <t>Controle van stuik rond de bout door stijl en anker</t>
  </si>
  <si>
    <t>afstand tot rand :</t>
  </si>
  <si>
    <t>cm</t>
  </si>
  <si>
    <t>e1</t>
  </si>
  <si>
    <t>boutdiameter   :</t>
  </si>
  <si>
    <t>tussenafstand :</t>
  </si>
  <si>
    <t>s1</t>
  </si>
  <si>
    <t xml:space="preserve">dikte stijl en SPIGOT </t>
  </si>
  <si>
    <t>aantal vlakken per as</t>
  </si>
  <si>
    <t>kN/cm2</t>
  </si>
  <si>
    <t>0,2 rek x  1,5 volgens  1991 - 1-1  2007   blz 131</t>
  </si>
  <si>
    <t>kleinste van de 3 te kiezen</t>
  </si>
  <si>
    <t>IDEALE RANDAFSTAND</t>
  </si>
  <si>
    <t>e1 / 3d</t>
  </si>
  <si>
    <t>s1 / 3d</t>
  </si>
  <si>
    <t xml:space="preserve">en minimum </t>
  </si>
  <si>
    <t>De kleinste</t>
  </si>
  <si>
    <t>voor sleufgtat  :</t>
  </si>
  <si>
    <t>sleufgat is enkel voor het anker te kontroleren, in stijl is meestal geboord gat</t>
  </si>
  <si>
    <t>Dus we kiezen :</t>
  </si>
  <si>
    <r>
      <rPr>
        <sz val="11"/>
        <rFont val="Arial"/>
        <family val="2"/>
      </rPr>
      <t>F</t>
    </r>
    <r>
      <rPr>
        <sz val="8"/>
        <rFont val="Arial"/>
        <family val="2"/>
      </rPr>
      <t xml:space="preserve">adm.  = </t>
    </r>
    <r>
      <rPr>
        <sz val="10"/>
        <rFont val="Arial"/>
        <family val="2"/>
      </rPr>
      <t>face  x cd x ft;d x d x t</t>
    </r>
  </si>
  <si>
    <t>De op te nemen kracht is</t>
  </si>
  <si>
    <t>215 = fu (voor legering 6060 T66)</t>
  </si>
  <si>
    <r>
      <t>k</t>
    </r>
    <r>
      <rPr>
        <vertAlign val="subscript"/>
        <sz val="10"/>
        <color theme="1"/>
        <rFont val="Arial"/>
        <family val="2"/>
      </rPr>
      <t>1</t>
    </r>
    <r>
      <rPr>
        <sz val="10"/>
        <color theme="1"/>
        <rFont val="Arial"/>
        <family val="2"/>
      </rPr>
      <t>=min(2,8*e</t>
    </r>
    <r>
      <rPr>
        <vertAlign val="subscript"/>
        <sz val="10"/>
        <color theme="1"/>
        <rFont val="Arial"/>
        <family val="2"/>
      </rPr>
      <t>2</t>
    </r>
    <r>
      <rPr>
        <sz val="10"/>
        <color theme="1"/>
        <rFont val="Arial"/>
        <family val="2"/>
      </rPr>
      <t>/d-1,7; 2,5)</t>
    </r>
  </si>
  <si>
    <r>
      <t>α</t>
    </r>
    <r>
      <rPr>
        <vertAlign val="subscript"/>
        <sz val="10"/>
        <color theme="1"/>
        <rFont val="Arial"/>
        <family val="2"/>
      </rPr>
      <t>b</t>
    </r>
    <r>
      <rPr>
        <sz val="10"/>
        <color theme="1"/>
        <rFont val="Arial"/>
        <family val="2"/>
      </rPr>
      <t xml:space="preserve"> = min(e</t>
    </r>
    <r>
      <rPr>
        <vertAlign val="subscript"/>
        <sz val="10"/>
        <color theme="1"/>
        <rFont val="Arial"/>
        <family val="2"/>
      </rPr>
      <t>1</t>
    </r>
    <r>
      <rPr>
        <sz val="10"/>
        <color theme="1"/>
        <rFont val="Arial"/>
        <family val="2"/>
      </rPr>
      <t>/3d; 1, f</t>
    </r>
    <r>
      <rPr>
        <vertAlign val="subscript"/>
        <sz val="10"/>
        <color theme="1"/>
        <rFont val="Arial"/>
        <family val="2"/>
      </rPr>
      <t>ub</t>
    </r>
    <r>
      <rPr>
        <sz val="10"/>
        <color theme="1"/>
        <rFont val="Arial"/>
        <family val="2"/>
      </rPr>
      <t>/f</t>
    </r>
    <r>
      <rPr>
        <vertAlign val="subscript"/>
        <sz val="10"/>
        <color theme="1"/>
        <rFont val="Arial"/>
        <family val="2"/>
      </rPr>
      <t>u</t>
    </r>
    <r>
      <rPr>
        <sz val="10"/>
        <color theme="1"/>
        <rFont val="Arial"/>
        <family val="2"/>
      </rPr>
      <t>)</t>
    </r>
  </si>
  <si>
    <r>
      <t>α</t>
    </r>
    <r>
      <rPr>
        <vertAlign val="subscript"/>
        <sz val="10"/>
        <color theme="1"/>
        <rFont val="Arial"/>
        <family val="2"/>
      </rPr>
      <t>b</t>
    </r>
    <r>
      <rPr>
        <sz val="10"/>
        <color theme="1"/>
        <rFont val="Arial"/>
        <family val="2"/>
      </rPr>
      <t xml:space="preserve"> = min(e</t>
    </r>
    <r>
      <rPr>
        <vertAlign val="subscript"/>
        <sz val="10"/>
        <color theme="1"/>
        <rFont val="Arial"/>
        <family val="2"/>
      </rPr>
      <t>1</t>
    </r>
    <r>
      <rPr>
        <sz val="10"/>
        <color theme="1"/>
        <rFont val="Arial"/>
        <family val="2"/>
      </rPr>
      <t>/3d; 0,66, f</t>
    </r>
    <r>
      <rPr>
        <vertAlign val="subscript"/>
        <sz val="10"/>
        <color theme="1"/>
        <rFont val="Arial"/>
        <family val="2"/>
      </rPr>
      <t>ub</t>
    </r>
    <r>
      <rPr>
        <sz val="10"/>
        <color theme="1"/>
        <rFont val="Arial"/>
        <family val="2"/>
      </rPr>
      <t>/f</t>
    </r>
    <r>
      <rPr>
        <vertAlign val="subscript"/>
        <sz val="10"/>
        <color theme="1"/>
        <rFont val="Arial"/>
        <family val="2"/>
      </rPr>
      <t>u</t>
    </r>
    <r>
      <rPr>
        <sz val="10"/>
        <color theme="1"/>
        <rFont val="Arial"/>
        <family val="2"/>
      </rPr>
      <t>)</t>
    </r>
  </si>
  <si>
    <t>karakteristieke uiterste treksterkte vna het anker</t>
  </si>
  <si>
    <t>partiele veiligheidscoefficient van de bout op afschuiving</t>
  </si>
  <si>
    <t>Minimumwaarden rekgrens en treksterkte van bouten</t>
  </si>
  <si>
    <t>EN 1999-1-1 / 2007</t>
  </si>
  <si>
    <t>diameter van de bout of huls</t>
  </si>
  <si>
    <t>minimale toelaatbare randafstand vertikaal</t>
  </si>
  <si>
    <t>minimaal toelaatbare randafstand  horizontaal</t>
  </si>
  <si>
    <r>
      <t>d</t>
    </r>
    <r>
      <rPr>
        <vertAlign val="subscript"/>
        <sz val="10"/>
        <color theme="1"/>
        <rFont val="Arial"/>
        <family val="2"/>
      </rPr>
      <t>0 huls</t>
    </r>
  </si>
  <si>
    <r>
      <t>d</t>
    </r>
    <r>
      <rPr>
        <vertAlign val="subscript"/>
        <sz val="10"/>
        <color theme="1"/>
        <rFont val="Arial"/>
        <family val="2"/>
      </rPr>
      <t xml:space="preserve"> huls</t>
    </r>
  </si>
  <si>
    <t>kracht per snede</t>
  </si>
  <si>
    <r>
      <t>α</t>
    </r>
    <r>
      <rPr>
        <vertAlign val="subscript"/>
        <sz val="10"/>
        <color theme="1"/>
        <rFont val="Arial"/>
        <family val="2"/>
      </rPr>
      <t>red;2</t>
    </r>
  </si>
  <si>
    <r>
      <t>F</t>
    </r>
    <r>
      <rPr>
        <vertAlign val="subscript"/>
        <sz val="10"/>
        <color theme="1"/>
        <rFont val="Arial"/>
        <family val="2"/>
      </rPr>
      <t>v,Rd</t>
    </r>
    <r>
      <rPr>
        <sz val="10"/>
        <color theme="1"/>
        <rFont val="Arial"/>
        <family val="2"/>
      </rPr>
      <t>= α</t>
    </r>
    <r>
      <rPr>
        <vertAlign val="subscript"/>
        <sz val="10"/>
        <color theme="1"/>
        <rFont val="Arial"/>
        <family val="2"/>
      </rPr>
      <t>v</t>
    </r>
    <r>
      <rPr>
        <sz val="10"/>
        <color theme="1"/>
        <rFont val="Arial"/>
        <family val="2"/>
      </rPr>
      <t>*f</t>
    </r>
    <r>
      <rPr>
        <vertAlign val="subscript"/>
        <sz val="10"/>
        <color theme="1"/>
        <rFont val="Arial"/>
        <family val="2"/>
      </rPr>
      <t>ub</t>
    </r>
    <r>
      <rPr>
        <sz val="10"/>
        <color theme="1"/>
        <rFont val="Arial"/>
        <family val="2"/>
      </rPr>
      <t>*α</t>
    </r>
    <r>
      <rPr>
        <vertAlign val="subscript"/>
        <sz val="10"/>
        <color theme="1"/>
        <rFont val="Arial"/>
        <family val="2"/>
      </rPr>
      <t>red;2</t>
    </r>
    <r>
      <rPr>
        <sz val="10"/>
        <color theme="1"/>
        <rFont val="Arial"/>
        <family val="2"/>
      </rPr>
      <t>*A/ γ</t>
    </r>
    <r>
      <rPr>
        <vertAlign val="subscript"/>
        <sz val="10"/>
        <color theme="1"/>
        <rFont val="Arial"/>
        <family val="2"/>
      </rPr>
      <t>M2</t>
    </r>
  </si>
  <si>
    <t>gerold</t>
  </si>
  <si>
    <t>draadtype</t>
  </si>
  <si>
    <t>klasse</t>
  </si>
  <si>
    <t>bouttype</t>
  </si>
  <si>
    <t>huls</t>
  </si>
  <si>
    <t>plaats van de snede door de bout</t>
  </si>
  <si>
    <t>spanningsdoorsnede voor berekening van de bout of pen</t>
  </si>
  <si>
    <t>reductiefactor uiterste treksterkte bout in functie van het draadtype</t>
  </si>
  <si>
    <t>mm²</t>
  </si>
  <si>
    <t>Bout of as gegevens</t>
  </si>
  <si>
    <t>totale sectie</t>
  </si>
  <si>
    <t>spanningssectie door de draad</t>
  </si>
  <si>
    <t>diameter van de huls indien van toepassing</t>
  </si>
  <si>
    <t>gatdiameter voor de huls indien van toepassing</t>
  </si>
  <si>
    <r>
      <t>f</t>
    </r>
    <r>
      <rPr>
        <vertAlign val="subscript"/>
        <sz val="10"/>
        <rFont val="Arial"/>
        <family val="2"/>
      </rPr>
      <t>u</t>
    </r>
  </si>
  <si>
    <t>rond gat</t>
  </si>
  <si>
    <t>gesneden</t>
  </si>
  <si>
    <t>ja</t>
  </si>
  <si>
    <t>neen</t>
  </si>
  <si>
    <t>legering</t>
  </si>
  <si>
    <t>gerolde</t>
  </si>
  <si>
    <t>geen</t>
  </si>
  <si>
    <r>
      <t>b</t>
    </r>
    <r>
      <rPr>
        <vertAlign val="subscript"/>
        <sz val="10"/>
        <color theme="1"/>
        <rFont val="Arial"/>
        <family val="2"/>
      </rPr>
      <t>1</t>
    </r>
  </si>
  <si>
    <r>
      <t>d</t>
    </r>
    <r>
      <rPr>
        <vertAlign val="subscript"/>
        <sz val="10"/>
        <color theme="1"/>
        <rFont val="Arial"/>
        <family val="2"/>
      </rPr>
      <t>2</t>
    </r>
  </si>
  <si>
    <r>
      <t>FE - S235 - e ≤ 16 mm - R</t>
    </r>
    <r>
      <rPr>
        <vertAlign val="subscript"/>
        <sz val="10"/>
        <color theme="1"/>
        <rFont val="Arial"/>
        <family val="2"/>
      </rPr>
      <t>eH</t>
    </r>
    <r>
      <rPr>
        <sz val="10"/>
        <color theme="1"/>
        <rFont val="Arial"/>
        <family val="2"/>
      </rPr>
      <t xml:space="preserve"> / EN 10025-2</t>
    </r>
  </si>
  <si>
    <r>
      <t>FE - S355 - e ≤ 16 mm - R</t>
    </r>
    <r>
      <rPr>
        <vertAlign val="subscript"/>
        <sz val="10"/>
        <color theme="1"/>
        <rFont val="Arial"/>
        <family val="2"/>
      </rPr>
      <t>eH</t>
    </r>
    <r>
      <rPr>
        <sz val="10"/>
        <color theme="1"/>
        <rFont val="Arial"/>
        <family val="2"/>
      </rPr>
      <t xml:space="preserve"> / EN 10025-2</t>
    </r>
  </si>
  <si>
    <r>
      <t xml:space="preserve">Alu - EN AW 6060 T66 - 3 &lt; e </t>
    </r>
    <r>
      <rPr>
        <u/>
        <sz val="10"/>
        <rFont val="Arial"/>
        <family val="2"/>
      </rPr>
      <t>&lt;</t>
    </r>
    <r>
      <rPr>
        <sz val="10"/>
        <rFont val="Arial"/>
        <family val="2"/>
      </rPr>
      <t xml:space="preserve"> 25 mm - Rp</t>
    </r>
    <r>
      <rPr>
        <vertAlign val="subscript"/>
        <sz val="10"/>
        <color theme="1"/>
        <rFont val="Arial"/>
        <family val="2"/>
      </rPr>
      <t>0,2</t>
    </r>
    <r>
      <rPr>
        <sz val="10"/>
        <color theme="1"/>
        <rFont val="Arial"/>
        <family val="2"/>
      </rPr>
      <t xml:space="preserve"> / EN 1999</t>
    </r>
  </si>
  <si>
    <r>
      <t xml:space="preserve">Alu - EN AW 6060 T66 - e </t>
    </r>
    <r>
      <rPr>
        <u/>
        <sz val="10"/>
        <rFont val="Arial"/>
        <family val="2"/>
      </rPr>
      <t>&lt;</t>
    </r>
    <r>
      <rPr>
        <sz val="10"/>
        <rFont val="Arial"/>
        <family val="2"/>
      </rPr>
      <t xml:space="preserve"> 3 mm - Rp</t>
    </r>
    <r>
      <rPr>
        <vertAlign val="subscript"/>
        <sz val="10"/>
        <color theme="1"/>
        <rFont val="Arial"/>
        <family val="2"/>
      </rPr>
      <t>0,2</t>
    </r>
    <r>
      <rPr>
        <sz val="10"/>
        <color theme="1"/>
        <rFont val="Arial"/>
        <family val="2"/>
      </rPr>
      <t xml:space="preserve"> / EN 1999</t>
    </r>
  </si>
  <si>
    <r>
      <t xml:space="preserve">Alu - EN AW 6063 T66 - 10&lt; e </t>
    </r>
    <r>
      <rPr>
        <u/>
        <sz val="10"/>
        <rFont val="Arial"/>
        <family val="2"/>
      </rPr>
      <t>&lt;</t>
    </r>
    <r>
      <rPr>
        <sz val="10"/>
        <rFont val="Arial"/>
        <family val="2"/>
      </rPr>
      <t xml:space="preserve"> 25 mm - Rp</t>
    </r>
    <r>
      <rPr>
        <vertAlign val="subscript"/>
        <sz val="10"/>
        <color theme="1"/>
        <rFont val="Arial"/>
        <family val="2"/>
      </rPr>
      <t>0,2</t>
    </r>
    <r>
      <rPr>
        <sz val="10"/>
        <color theme="1"/>
        <rFont val="Arial"/>
        <family val="2"/>
      </rPr>
      <t xml:space="preserve"> / EN 1999</t>
    </r>
  </si>
  <si>
    <r>
      <t xml:space="preserve">Alu - EN AW 6063 T66 - e </t>
    </r>
    <r>
      <rPr>
        <u/>
        <sz val="10"/>
        <rFont val="Arial"/>
        <family val="2"/>
      </rPr>
      <t>&lt;</t>
    </r>
    <r>
      <rPr>
        <sz val="10"/>
        <rFont val="Arial"/>
        <family val="2"/>
      </rPr>
      <t xml:space="preserve"> 10 mm - Rp</t>
    </r>
    <r>
      <rPr>
        <vertAlign val="subscript"/>
        <sz val="10"/>
        <color theme="1"/>
        <rFont val="Arial"/>
        <family val="2"/>
      </rPr>
      <t>0,2</t>
    </r>
    <r>
      <rPr>
        <sz val="10"/>
        <color theme="1"/>
        <rFont val="Arial"/>
        <family val="2"/>
      </rPr>
      <t xml:space="preserve"> / EN 1999</t>
    </r>
  </si>
  <si>
    <r>
      <t xml:space="preserve">Alu - EN AW 6060 T66 - 3 &lt; e </t>
    </r>
    <r>
      <rPr>
        <u/>
        <sz val="10"/>
        <rFont val="Arial"/>
        <family val="2"/>
      </rPr>
      <t>&lt;</t>
    </r>
    <r>
      <rPr>
        <sz val="10"/>
        <rFont val="Arial"/>
        <family val="2"/>
      </rPr>
      <t xml:space="preserve"> 25 mm - Rp</t>
    </r>
    <r>
      <rPr>
        <vertAlign val="subscript"/>
        <sz val="10"/>
        <color theme="1"/>
        <rFont val="Arial"/>
        <family val="2"/>
      </rPr>
      <t>0,2</t>
    </r>
  </si>
  <si>
    <r>
      <t xml:space="preserve">Alu - EN AW 6060 T66 - e </t>
    </r>
    <r>
      <rPr>
        <u/>
        <sz val="10"/>
        <rFont val="Arial"/>
        <family val="2"/>
      </rPr>
      <t>&lt;</t>
    </r>
    <r>
      <rPr>
        <sz val="10"/>
        <rFont val="Arial"/>
        <family val="2"/>
      </rPr>
      <t xml:space="preserve"> 3 mm - Rp</t>
    </r>
    <r>
      <rPr>
        <vertAlign val="subscript"/>
        <sz val="10"/>
        <color theme="1"/>
        <rFont val="Arial"/>
        <family val="2"/>
      </rPr>
      <t>0,2</t>
    </r>
  </si>
  <si>
    <r>
      <t xml:space="preserve">Alu - EN AW 6063 T66 - e </t>
    </r>
    <r>
      <rPr>
        <u/>
        <sz val="10"/>
        <rFont val="Arial"/>
        <family val="2"/>
      </rPr>
      <t>&lt;</t>
    </r>
    <r>
      <rPr>
        <sz val="10"/>
        <rFont val="Arial"/>
        <family val="2"/>
      </rPr>
      <t xml:space="preserve"> 10 mm - Rp</t>
    </r>
    <r>
      <rPr>
        <vertAlign val="subscript"/>
        <sz val="10"/>
        <color theme="1"/>
        <rFont val="Arial"/>
        <family val="2"/>
      </rPr>
      <t>0,2</t>
    </r>
  </si>
  <si>
    <r>
      <t>FE - S235 - e ≤ 16 mm - R</t>
    </r>
    <r>
      <rPr>
        <vertAlign val="subscript"/>
        <sz val="10"/>
        <color theme="1"/>
        <rFont val="Arial"/>
        <family val="2"/>
      </rPr>
      <t>eH</t>
    </r>
  </si>
  <si>
    <r>
      <t>FE - S355 - e ≤ 16 mm - R</t>
    </r>
    <r>
      <rPr>
        <vertAlign val="subscript"/>
        <sz val="10"/>
        <color theme="1"/>
        <rFont val="Arial"/>
        <family val="2"/>
      </rPr>
      <t>eH</t>
    </r>
    <r>
      <rPr>
        <sz val="10"/>
        <color theme="1"/>
        <rFont val="Arial"/>
        <family val="2"/>
      </rPr>
      <t xml:space="preserve"> </t>
    </r>
  </si>
  <si>
    <r>
      <t xml:space="preserve">Alu - EN AW 6063 T66 - 10 &lt; e </t>
    </r>
    <r>
      <rPr>
        <u/>
        <sz val="10"/>
        <rFont val="Arial"/>
        <family val="2"/>
      </rPr>
      <t>&lt;</t>
    </r>
    <r>
      <rPr>
        <sz val="10"/>
        <rFont val="Arial"/>
        <family val="2"/>
      </rPr>
      <t xml:space="preserve"> 25 mm - Rp</t>
    </r>
    <r>
      <rPr>
        <vertAlign val="subscript"/>
        <sz val="10"/>
        <color theme="1"/>
        <rFont val="Arial"/>
        <family val="2"/>
      </rPr>
      <t>0,2</t>
    </r>
  </si>
  <si>
    <r>
      <t>d</t>
    </r>
    <r>
      <rPr>
        <vertAlign val="subscript"/>
        <sz val="10"/>
        <color theme="1"/>
        <rFont val="Arial"/>
        <family val="2"/>
      </rPr>
      <t>3</t>
    </r>
  </si>
  <si>
    <t>kern</t>
  </si>
  <si>
    <t>flank</t>
  </si>
  <si>
    <t>boor</t>
  </si>
  <si>
    <t>spanning</t>
  </si>
  <si>
    <t>nominaal</t>
  </si>
  <si>
    <t>schroef</t>
  </si>
  <si>
    <t>e</t>
  </si>
  <si>
    <r>
      <t>A</t>
    </r>
    <r>
      <rPr>
        <vertAlign val="subscript"/>
        <sz val="10"/>
        <rFont val="Arial"/>
        <family val="2"/>
      </rPr>
      <t xml:space="preserve">s </t>
    </r>
    <r>
      <rPr>
        <sz val="10"/>
        <rFont val="Arial"/>
        <family val="2"/>
      </rPr>
      <t>=π/4 d</t>
    </r>
    <r>
      <rPr>
        <vertAlign val="subscript"/>
        <sz val="10"/>
        <rFont val="Arial"/>
        <family val="2"/>
      </rPr>
      <t>1</t>
    </r>
    <r>
      <rPr>
        <vertAlign val="superscript"/>
        <sz val="10"/>
        <rFont val="Arial"/>
        <family val="2"/>
      </rPr>
      <t xml:space="preserve">2 </t>
    </r>
    <r>
      <rPr>
        <sz val="10"/>
        <rFont val="Arial"/>
        <family val="2"/>
      </rPr>
      <t>; d</t>
    </r>
    <r>
      <rPr>
        <vertAlign val="subscript"/>
        <sz val="10"/>
        <rFont val="Arial"/>
        <family val="2"/>
      </rPr>
      <t>1</t>
    </r>
    <r>
      <rPr>
        <sz val="10"/>
        <rFont val="Arial"/>
        <family val="2"/>
      </rPr>
      <t>=(d</t>
    </r>
    <r>
      <rPr>
        <vertAlign val="subscript"/>
        <sz val="10"/>
        <rFont val="Arial"/>
        <family val="2"/>
      </rPr>
      <t>2</t>
    </r>
    <r>
      <rPr>
        <sz val="10"/>
        <rFont val="Arial"/>
        <family val="2"/>
      </rPr>
      <t>+d</t>
    </r>
    <r>
      <rPr>
        <vertAlign val="subscript"/>
        <sz val="10"/>
        <rFont val="Arial"/>
        <family val="2"/>
      </rPr>
      <t>3</t>
    </r>
    <r>
      <rPr>
        <sz val="10"/>
        <rFont val="Arial"/>
        <family val="2"/>
      </rPr>
      <t>)/2</t>
    </r>
  </si>
  <si>
    <r>
      <t>A</t>
    </r>
    <r>
      <rPr>
        <vertAlign val="subscript"/>
        <sz val="10"/>
        <rFont val="Arial"/>
        <family val="2"/>
      </rPr>
      <t xml:space="preserve">0 </t>
    </r>
    <r>
      <rPr>
        <sz val="10"/>
        <rFont val="Arial"/>
        <family val="2"/>
      </rPr>
      <t>=π/4 d</t>
    </r>
    <r>
      <rPr>
        <vertAlign val="superscript"/>
        <sz val="10"/>
        <rFont val="Arial"/>
        <family val="2"/>
      </rPr>
      <t>2</t>
    </r>
  </si>
  <si>
    <r>
      <t>d</t>
    </r>
    <r>
      <rPr>
        <vertAlign val="subscript"/>
        <sz val="10"/>
        <color theme="1"/>
        <rFont val="Arial"/>
        <family val="2"/>
      </rPr>
      <t>huls</t>
    </r>
  </si>
  <si>
    <t>wanddikte van het profiel</t>
  </si>
  <si>
    <r>
      <t>d</t>
    </r>
    <r>
      <rPr>
        <vertAlign val="subscript"/>
        <sz val="10"/>
        <color theme="1"/>
        <rFont val="Arial"/>
        <family val="2"/>
      </rPr>
      <t>in huls</t>
    </r>
  </si>
  <si>
    <r>
      <t>e</t>
    </r>
    <r>
      <rPr>
        <vertAlign val="subscript"/>
        <sz val="10"/>
        <color theme="1"/>
        <rFont val="Arial"/>
        <family val="2"/>
      </rPr>
      <t>1min</t>
    </r>
  </si>
  <si>
    <r>
      <t>e</t>
    </r>
    <r>
      <rPr>
        <vertAlign val="subscript"/>
        <sz val="10"/>
        <color theme="1"/>
        <rFont val="Arial"/>
        <family val="2"/>
      </rPr>
      <t>2min</t>
    </r>
  </si>
  <si>
    <t>randafstand  horizontaal</t>
  </si>
  <si>
    <t>kleinste randafstand vertikaal</t>
  </si>
  <si>
    <t>belasting ankerwand</t>
  </si>
  <si>
    <t>belasting profielwand</t>
  </si>
  <si>
    <t>hoogte anker</t>
  </si>
  <si>
    <t>randafstand vertikaal onder boring</t>
  </si>
  <si>
    <t>randafstand vertikaal boven de boring</t>
  </si>
  <si>
    <r>
      <t>k</t>
    </r>
    <r>
      <rPr>
        <vertAlign val="subscript"/>
        <sz val="10"/>
        <color theme="1"/>
        <rFont val="Arial"/>
        <family val="2"/>
      </rPr>
      <t>1</t>
    </r>
    <r>
      <rPr>
        <sz val="10"/>
        <color theme="1"/>
        <rFont val="Arial"/>
        <family val="2"/>
      </rPr>
      <t>=min(2,8*e</t>
    </r>
    <r>
      <rPr>
        <vertAlign val="subscript"/>
        <sz val="10"/>
        <color theme="1"/>
        <rFont val="Arial"/>
        <family val="2"/>
      </rPr>
      <t>2inf</t>
    </r>
    <r>
      <rPr>
        <sz val="10"/>
        <color theme="1"/>
        <rFont val="Arial"/>
        <family val="2"/>
      </rPr>
      <t>/d</t>
    </r>
    <r>
      <rPr>
        <vertAlign val="subscript"/>
        <sz val="10"/>
        <color theme="1"/>
        <rFont val="Arial"/>
        <family val="2"/>
      </rPr>
      <t>0</t>
    </r>
    <r>
      <rPr>
        <sz val="10"/>
        <color theme="1"/>
        <rFont val="Arial"/>
        <family val="2"/>
      </rPr>
      <t>-1,7; 2,5)</t>
    </r>
  </si>
  <si>
    <r>
      <t>gat : α</t>
    </r>
    <r>
      <rPr>
        <vertAlign val="subscript"/>
        <sz val="10"/>
        <color theme="1"/>
        <rFont val="Arial"/>
        <family val="2"/>
      </rPr>
      <t>b</t>
    </r>
    <r>
      <rPr>
        <sz val="10"/>
        <color theme="1"/>
        <rFont val="Arial"/>
        <family val="2"/>
      </rPr>
      <t xml:space="preserve"> = min(e</t>
    </r>
    <r>
      <rPr>
        <vertAlign val="subscript"/>
        <sz val="10"/>
        <color theme="1"/>
        <rFont val="Arial"/>
        <family val="2"/>
      </rPr>
      <t>1inf</t>
    </r>
    <r>
      <rPr>
        <sz val="10"/>
        <color theme="1"/>
        <rFont val="Arial"/>
        <family val="2"/>
      </rPr>
      <t>/3d</t>
    </r>
    <r>
      <rPr>
        <vertAlign val="subscript"/>
        <sz val="10"/>
        <color theme="1"/>
        <rFont val="Arial"/>
        <family val="2"/>
      </rPr>
      <t>0</t>
    </r>
    <r>
      <rPr>
        <sz val="10"/>
        <color theme="1"/>
        <rFont val="Arial"/>
        <family val="2"/>
      </rPr>
      <t>; 1, f</t>
    </r>
    <r>
      <rPr>
        <vertAlign val="subscript"/>
        <sz val="10"/>
        <color theme="1"/>
        <rFont val="Arial"/>
        <family val="2"/>
      </rPr>
      <t>ub</t>
    </r>
    <r>
      <rPr>
        <sz val="10"/>
        <color theme="1"/>
        <rFont val="Arial"/>
        <family val="2"/>
      </rPr>
      <t>/f</t>
    </r>
    <r>
      <rPr>
        <vertAlign val="subscript"/>
        <sz val="10"/>
        <color theme="1"/>
        <rFont val="Arial"/>
        <family val="2"/>
      </rPr>
      <t>u</t>
    </r>
    <r>
      <rPr>
        <sz val="10"/>
        <color theme="1"/>
        <rFont val="Arial"/>
        <family val="2"/>
      </rPr>
      <t>)</t>
    </r>
  </si>
  <si>
    <t>kleinste randafstand horizontaal</t>
  </si>
  <si>
    <t>afstand bout tot achterwand</t>
  </si>
  <si>
    <t>cm³</t>
  </si>
  <si>
    <t>weerstandsmoment flens aan de ankerplaat</t>
  </si>
  <si>
    <r>
      <t>h</t>
    </r>
    <r>
      <rPr>
        <vertAlign val="subscript"/>
        <sz val="10"/>
        <color theme="1"/>
        <rFont val="Arial"/>
        <family val="2"/>
      </rPr>
      <t>flens</t>
    </r>
  </si>
  <si>
    <r>
      <t>A</t>
    </r>
    <r>
      <rPr>
        <vertAlign val="subscript"/>
        <sz val="10"/>
        <color theme="1"/>
        <rFont val="Arial"/>
        <family val="2"/>
      </rPr>
      <t>flens</t>
    </r>
  </si>
  <si>
    <r>
      <t>t</t>
    </r>
    <r>
      <rPr>
        <vertAlign val="subscript"/>
        <sz val="10"/>
        <color theme="1"/>
        <rFont val="Arial"/>
        <family val="2"/>
      </rPr>
      <t>flens</t>
    </r>
  </si>
  <si>
    <t>oppervlakte van de belaste sectie</t>
  </si>
  <si>
    <r>
      <t>W</t>
    </r>
    <r>
      <rPr>
        <vertAlign val="subscript"/>
        <sz val="10"/>
        <color theme="1"/>
        <rFont val="Arial"/>
        <family val="2"/>
      </rPr>
      <t>xflens</t>
    </r>
    <r>
      <rPr>
        <sz val="10"/>
        <color theme="1"/>
        <rFont val="Arial"/>
        <family val="2"/>
      </rPr>
      <t xml:space="preserve"> = h</t>
    </r>
    <r>
      <rPr>
        <vertAlign val="subscript"/>
        <sz val="10"/>
        <color theme="1"/>
        <rFont val="Arial"/>
        <family val="2"/>
      </rPr>
      <t>flens</t>
    </r>
    <r>
      <rPr>
        <sz val="10"/>
        <color theme="1"/>
        <rFont val="Arial"/>
        <family val="2"/>
      </rPr>
      <t>²*t</t>
    </r>
    <r>
      <rPr>
        <vertAlign val="subscript"/>
        <sz val="10"/>
        <color theme="1"/>
        <rFont val="Arial"/>
        <family val="2"/>
      </rPr>
      <t>flens</t>
    </r>
    <r>
      <rPr>
        <sz val="10"/>
        <color theme="1"/>
        <rFont val="Arial"/>
        <family val="2"/>
      </rPr>
      <t>/6</t>
    </r>
  </si>
  <si>
    <r>
      <t>M</t>
    </r>
    <r>
      <rPr>
        <vertAlign val="subscript"/>
        <sz val="10"/>
        <color theme="1"/>
        <rFont val="Arial"/>
        <family val="2"/>
      </rPr>
      <t>flens</t>
    </r>
  </si>
  <si>
    <t>moment</t>
  </si>
  <si>
    <r>
      <t>W</t>
    </r>
    <r>
      <rPr>
        <vertAlign val="subscript"/>
        <sz val="10"/>
        <color theme="1"/>
        <rFont val="Arial"/>
        <family val="2"/>
      </rPr>
      <t>xflens</t>
    </r>
  </si>
  <si>
    <t>Spanning in de ankerflens</t>
  </si>
  <si>
    <t>G</t>
  </si>
  <si>
    <t xml:space="preserve">gewichtsbelasting voor uiterste grenstoestand (UGT) </t>
  </si>
  <si>
    <r>
      <t>G*</t>
    </r>
    <r>
      <rPr>
        <sz val="14"/>
        <color theme="1"/>
        <rFont val="Times New Roman"/>
        <family val="1"/>
      </rPr>
      <t>γ</t>
    </r>
    <r>
      <rPr>
        <vertAlign val="subscript"/>
        <sz val="10"/>
        <color theme="1"/>
        <rFont val="Arial"/>
        <family val="2"/>
      </rPr>
      <t>g</t>
    </r>
  </si>
  <si>
    <r>
      <t>totale kracht op het anker ((G*</t>
    </r>
    <r>
      <rPr>
        <sz val="14"/>
        <color theme="1"/>
        <rFont val="Times New Roman"/>
        <family val="1"/>
      </rPr>
      <t>γ</t>
    </r>
    <r>
      <rPr>
        <vertAlign val="subscript"/>
        <sz val="14"/>
        <color theme="1"/>
        <rFont val="Times New Roman"/>
        <family val="1"/>
      </rPr>
      <t>g</t>
    </r>
    <r>
      <rPr>
        <sz val="10"/>
        <color theme="1"/>
        <rFont val="Arial"/>
        <family val="2"/>
      </rPr>
      <t>)² + W</t>
    </r>
    <r>
      <rPr>
        <vertAlign val="subscript"/>
        <sz val="10"/>
        <color theme="1"/>
        <rFont val="Arial"/>
        <family val="2"/>
      </rPr>
      <t>UGT</t>
    </r>
    <r>
      <rPr>
        <sz val="10"/>
        <color theme="1"/>
        <rFont val="Arial"/>
        <family val="2"/>
      </rPr>
      <t>²)</t>
    </r>
    <r>
      <rPr>
        <vertAlign val="superscript"/>
        <sz val="10"/>
        <color theme="1"/>
        <rFont val="Arial"/>
        <family val="2"/>
      </rPr>
      <t>1/2</t>
    </r>
  </si>
  <si>
    <t>Nm</t>
  </si>
  <si>
    <t>belasting bout</t>
  </si>
  <si>
    <t>karakteristieke rekgrens anker</t>
  </si>
  <si>
    <t>gewicht</t>
  </si>
  <si>
    <r>
      <t>f</t>
    </r>
    <r>
      <rPr>
        <vertAlign val="subscript"/>
        <sz val="10"/>
        <color theme="1"/>
        <rFont val="Arial"/>
        <family val="2"/>
      </rPr>
      <t>uanker</t>
    </r>
  </si>
  <si>
    <r>
      <t>f</t>
    </r>
    <r>
      <rPr>
        <vertAlign val="subscript"/>
        <sz val="10"/>
        <rFont val="Arial"/>
        <family val="2"/>
      </rPr>
      <t>uprofiel</t>
    </r>
  </si>
  <si>
    <r>
      <rPr>
        <sz val="14"/>
        <color theme="1"/>
        <rFont val="Times New Roman"/>
        <family val="1"/>
      </rPr>
      <t>γ</t>
    </r>
    <r>
      <rPr>
        <vertAlign val="subscript"/>
        <sz val="10"/>
        <color theme="1"/>
        <rFont val="Arial"/>
        <family val="2"/>
      </rPr>
      <t>M2profiel</t>
    </r>
  </si>
  <si>
    <t>dikte flens van het anker</t>
  </si>
  <si>
    <r>
      <t>e</t>
    </r>
    <r>
      <rPr>
        <vertAlign val="subscript"/>
        <sz val="10"/>
        <color theme="1"/>
        <rFont val="Arial"/>
        <family val="2"/>
      </rPr>
      <t>1profiel</t>
    </r>
  </si>
  <si>
    <r>
      <t>e</t>
    </r>
    <r>
      <rPr>
        <vertAlign val="subscript"/>
        <sz val="10"/>
        <color theme="1"/>
        <rFont val="Arial"/>
        <family val="2"/>
      </rPr>
      <t>2profiel</t>
    </r>
  </si>
  <si>
    <r>
      <t>L</t>
    </r>
    <r>
      <rPr>
        <vertAlign val="subscript"/>
        <sz val="10"/>
        <color theme="1"/>
        <rFont val="Arial"/>
        <family val="2"/>
      </rPr>
      <t>flens</t>
    </r>
  </si>
  <si>
    <r>
      <t>M</t>
    </r>
    <r>
      <rPr>
        <vertAlign val="subscript"/>
        <sz val="10"/>
        <color theme="1"/>
        <rFont val="Arial"/>
        <family val="2"/>
      </rPr>
      <t>flens</t>
    </r>
    <r>
      <rPr>
        <sz val="10"/>
        <color theme="1"/>
        <rFont val="Arial"/>
        <family val="2"/>
      </rPr>
      <t xml:space="preserve"> = G*γg*L</t>
    </r>
    <r>
      <rPr>
        <vertAlign val="subscript"/>
        <sz val="10"/>
        <color theme="1"/>
        <rFont val="Arial"/>
        <family val="2"/>
      </rPr>
      <t>flens</t>
    </r>
    <r>
      <rPr>
        <sz val="10"/>
        <color theme="1"/>
        <rFont val="Arial"/>
        <family val="2"/>
      </rPr>
      <t>/2</t>
    </r>
  </si>
  <si>
    <r>
      <t>d</t>
    </r>
    <r>
      <rPr>
        <vertAlign val="subscript"/>
        <sz val="10"/>
        <color theme="1"/>
        <rFont val="Arial"/>
        <family val="2"/>
      </rPr>
      <t>profiel</t>
    </r>
  </si>
  <si>
    <r>
      <t>d</t>
    </r>
    <r>
      <rPr>
        <vertAlign val="subscript"/>
        <sz val="10"/>
        <color theme="1"/>
        <rFont val="Arial"/>
        <family val="2"/>
      </rPr>
      <t>0profiel</t>
    </r>
  </si>
  <si>
    <r>
      <t>d</t>
    </r>
    <r>
      <rPr>
        <vertAlign val="subscript"/>
        <sz val="10"/>
        <color theme="1"/>
        <rFont val="Arial"/>
        <family val="2"/>
      </rPr>
      <t>0flens</t>
    </r>
  </si>
  <si>
    <r>
      <t>d</t>
    </r>
    <r>
      <rPr>
        <vertAlign val="subscript"/>
        <sz val="10"/>
        <color theme="1"/>
        <rFont val="Arial"/>
        <family val="2"/>
      </rPr>
      <t>flens</t>
    </r>
  </si>
  <si>
    <t>Spanningen in de achterwand van het anker</t>
  </si>
  <si>
    <r>
      <t>M</t>
    </r>
    <r>
      <rPr>
        <vertAlign val="subscript"/>
        <sz val="10"/>
        <color theme="1"/>
        <rFont val="Arial"/>
        <family val="2"/>
      </rPr>
      <t>1wand</t>
    </r>
  </si>
  <si>
    <r>
      <t>L</t>
    </r>
    <r>
      <rPr>
        <vertAlign val="subscript"/>
        <sz val="10"/>
        <color theme="1"/>
        <rFont val="Arial"/>
        <family val="2"/>
      </rPr>
      <t>wand</t>
    </r>
  </si>
  <si>
    <r>
      <t>M</t>
    </r>
    <r>
      <rPr>
        <vertAlign val="subscript"/>
        <sz val="10"/>
        <color theme="1"/>
        <rFont val="Arial"/>
        <family val="2"/>
      </rPr>
      <t>2wand</t>
    </r>
  </si>
  <si>
    <r>
      <t>d</t>
    </r>
    <r>
      <rPr>
        <vertAlign val="subscript"/>
        <sz val="10"/>
        <color theme="1"/>
        <rFont val="Arial"/>
        <family val="2"/>
      </rPr>
      <t>owand</t>
    </r>
  </si>
  <si>
    <r>
      <t>W</t>
    </r>
    <r>
      <rPr>
        <vertAlign val="subscript"/>
        <sz val="10"/>
        <color theme="1"/>
        <rFont val="Arial"/>
        <family val="2"/>
      </rPr>
      <t>1wand</t>
    </r>
  </si>
  <si>
    <r>
      <t>a</t>
    </r>
    <r>
      <rPr>
        <vertAlign val="subscript"/>
        <sz val="10"/>
        <color theme="1"/>
        <rFont val="Arial"/>
        <family val="2"/>
      </rPr>
      <t>2a</t>
    </r>
  </si>
  <si>
    <r>
      <t>a</t>
    </r>
    <r>
      <rPr>
        <vertAlign val="subscript"/>
        <sz val="10"/>
        <color theme="1"/>
        <rFont val="Arial"/>
        <family val="2"/>
      </rPr>
      <t>2b</t>
    </r>
  </si>
  <si>
    <r>
      <t>W</t>
    </r>
    <r>
      <rPr>
        <vertAlign val="subscript"/>
        <sz val="10"/>
        <color theme="1"/>
        <rFont val="Arial"/>
        <family val="2"/>
      </rPr>
      <t>2wand</t>
    </r>
  </si>
  <si>
    <t>as afstand tussen de ankerbouten</t>
  </si>
  <si>
    <t>moment aan ankerbout</t>
  </si>
  <si>
    <t>weerstandsmoment aan ankerbout</t>
  </si>
  <si>
    <t>moment aan flens</t>
  </si>
  <si>
    <t>weerstandsmoment aan flens</t>
  </si>
  <si>
    <t>Trekkrachten op de ankerbouten</t>
  </si>
  <si>
    <t>afstand tussen as anker en as flenswand</t>
  </si>
  <si>
    <t>randafstand horizontaal</t>
  </si>
  <si>
    <t>Trekkracht op de ankerbouten</t>
  </si>
  <si>
    <r>
      <t>maximaal toelaatbare stuikkracht F</t>
    </r>
    <r>
      <rPr>
        <vertAlign val="subscript"/>
        <sz val="10"/>
        <color theme="1"/>
        <rFont val="Arial"/>
        <family val="2"/>
      </rPr>
      <t>b,Rd</t>
    </r>
    <r>
      <rPr>
        <sz val="10"/>
        <color theme="1"/>
        <rFont val="Arial"/>
        <family val="2"/>
      </rPr>
      <t>= k</t>
    </r>
    <r>
      <rPr>
        <vertAlign val="subscript"/>
        <sz val="10"/>
        <color theme="1"/>
        <rFont val="Arial"/>
        <family val="2"/>
      </rPr>
      <t>1</t>
    </r>
    <r>
      <rPr>
        <sz val="10"/>
        <color theme="1"/>
        <rFont val="Arial"/>
        <family val="2"/>
      </rPr>
      <t>*α</t>
    </r>
    <r>
      <rPr>
        <vertAlign val="subscript"/>
        <sz val="10"/>
        <color theme="1"/>
        <rFont val="Arial"/>
        <family val="2"/>
      </rPr>
      <t>b</t>
    </r>
    <r>
      <rPr>
        <sz val="10"/>
        <color theme="1"/>
        <rFont val="Arial"/>
        <family val="2"/>
      </rPr>
      <t>*f</t>
    </r>
    <r>
      <rPr>
        <vertAlign val="subscript"/>
        <sz val="10"/>
        <color theme="1"/>
        <rFont val="Arial"/>
        <family val="2"/>
      </rPr>
      <t>u</t>
    </r>
    <r>
      <rPr>
        <sz val="10"/>
        <color theme="1"/>
        <rFont val="Arial"/>
        <family val="2"/>
      </rPr>
      <t>*d*t/ γ</t>
    </r>
    <r>
      <rPr>
        <vertAlign val="subscript"/>
        <sz val="10"/>
        <color theme="1"/>
        <rFont val="Arial"/>
        <family val="2"/>
      </rPr>
      <t>M2</t>
    </r>
  </si>
  <si>
    <r>
      <t>maximaal toelaatbare stuikkacht F</t>
    </r>
    <r>
      <rPr>
        <vertAlign val="subscript"/>
        <sz val="10"/>
        <color theme="1"/>
        <rFont val="Arial"/>
        <family val="2"/>
      </rPr>
      <t>b,Rd</t>
    </r>
    <r>
      <rPr>
        <sz val="10"/>
        <color theme="1"/>
        <rFont val="Arial"/>
        <family val="2"/>
      </rPr>
      <t>= k</t>
    </r>
    <r>
      <rPr>
        <vertAlign val="subscript"/>
        <sz val="10"/>
        <color theme="1"/>
        <rFont val="Arial"/>
        <family val="2"/>
      </rPr>
      <t>1</t>
    </r>
    <r>
      <rPr>
        <sz val="10"/>
        <color theme="1"/>
        <rFont val="Arial"/>
        <family val="2"/>
      </rPr>
      <t>*α</t>
    </r>
    <r>
      <rPr>
        <vertAlign val="subscript"/>
        <sz val="10"/>
        <color theme="1"/>
        <rFont val="Arial"/>
        <family val="2"/>
      </rPr>
      <t>b</t>
    </r>
    <r>
      <rPr>
        <sz val="10"/>
        <color theme="1"/>
        <rFont val="Arial"/>
        <family val="2"/>
      </rPr>
      <t>*f</t>
    </r>
    <r>
      <rPr>
        <vertAlign val="subscript"/>
        <sz val="10"/>
        <color theme="1"/>
        <rFont val="Arial"/>
        <family val="2"/>
      </rPr>
      <t>u</t>
    </r>
    <r>
      <rPr>
        <sz val="10"/>
        <color theme="1"/>
        <rFont val="Arial"/>
        <family val="2"/>
      </rPr>
      <t>*d*t/ γ</t>
    </r>
    <r>
      <rPr>
        <vertAlign val="subscript"/>
        <sz val="10"/>
        <color theme="1"/>
        <rFont val="Arial"/>
        <family val="2"/>
      </rPr>
      <t>M2</t>
    </r>
  </si>
  <si>
    <r>
      <t>M</t>
    </r>
    <r>
      <rPr>
        <vertAlign val="subscript"/>
        <sz val="10"/>
        <color theme="1"/>
        <rFont val="Arial"/>
        <family val="2"/>
      </rPr>
      <t>1wand</t>
    </r>
    <r>
      <rPr>
        <sz val="10"/>
        <color theme="1"/>
        <rFont val="Arial"/>
        <family val="2"/>
      </rPr>
      <t xml:space="preserve"> =  </t>
    </r>
    <r>
      <rPr>
        <sz val="10"/>
        <color theme="1"/>
        <rFont val="Arial"/>
        <family val="2"/>
      </rPr>
      <t>W</t>
    </r>
    <r>
      <rPr>
        <vertAlign val="subscript"/>
        <sz val="10"/>
        <color theme="1"/>
        <rFont val="Arial"/>
        <family val="2"/>
      </rPr>
      <t>1wand</t>
    </r>
  </si>
  <si>
    <r>
      <t>M</t>
    </r>
    <r>
      <rPr>
        <vertAlign val="subscript"/>
        <sz val="10"/>
        <color theme="1"/>
        <rFont val="Arial"/>
        <family val="2"/>
      </rPr>
      <t>2wand</t>
    </r>
    <r>
      <rPr>
        <sz val="10"/>
        <color theme="1"/>
        <rFont val="Arial"/>
        <family val="2"/>
      </rPr>
      <t xml:space="preserve"> =  W</t>
    </r>
    <r>
      <rPr>
        <vertAlign val="subscript"/>
        <sz val="10"/>
        <color theme="1"/>
        <rFont val="Arial"/>
        <family val="2"/>
      </rPr>
      <t>2wand</t>
    </r>
  </si>
  <si>
    <r>
      <t>R</t>
    </r>
    <r>
      <rPr>
        <vertAlign val="subscript"/>
        <sz val="10"/>
        <color theme="1"/>
        <rFont val="Arial"/>
        <family val="2"/>
      </rPr>
      <t>ah</t>
    </r>
  </si>
  <si>
    <r>
      <t>R</t>
    </r>
    <r>
      <rPr>
        <vertAlign val="subscript"/>
        <sz val="10"/>
        <color theme="1"/>
        <rFont val="Arial"/>
        <family val="2"/>
      </rPr>
      <t>av</t>
    </r>
  </si>
  <si>
    <t>Afschuifkracht op de ankerbouten</t>
  </si>
  <si>
    <r>
      <t>t</t>
    </r>
    <r>
      <rPr>
        <vertAlign val="subscript"/>
        <sz val="10"/>
        <color theme="1"/>
        <rFont val="Arial"/>
        <family val="2"/>
      </rPr>
      <t>wandrand</t>
    </r>
  </si>
  <si>
    <r>
      <t>t</t>
    </r>
    <r>
      <rPr>
        <vertAlign val="subscript"/>
        <sz val="10"/>
        <color theme="1"/>
        <rFont val="Arial"/>
        <family val="2"/>
      </rPr>
      <t>wandmidden</t>
    </r>
  </si>
  <si>
    <t>dikte achterwand in randgedeelte anker</t>
  </si>
  <si>
    <t>dikte achterwand in centraal gedeelte anker</t>
  </si>
  <si>
    <r>
      <t>W</t>
    </r>
    <r>
      <rPr>
        <vertAlign val="subscript"/>
        <sz val="10"/>
        <color theme="1"/>
        <rFont val="Arial"/>
        <family val="2"/>
      </rPr>
      <t xml:space="preserve">1wand </t>
    </r>
    <r>
      <rPr>
        <sz val="10"/>
        <color theme="1"/>
        <rFont val="Arial"/>
        <family val="2"/>
      </rPr>
      <t>= (a</t>
    </r>
    <r>
      <rPr>
        <vertAlign val="subscript"/>
        <sz val="10"/>
        <color theme="1"/>
        <rFont val="Arial"/>
        <family val="2"/>
      </rPr>
      <t>2a</t>
    </r>
    <r>
      <rPr>
        <sz val="10"/>
        <color theme="1"/>
        <rFont val="Arial"/>
        <family val="2"/>
      </rPr>
      <t xml:space="preserve"> + a</t>
    </r>
    <r>
      <rPr>
        <vertAlign val="subscript"/>
        <sz val="10"/>
        <color theme="1"/>
        <rFont val="Arial"/>
        <family val="2"/>
      </rPr>
      <t>2b</t>
    </r>
    <r>
      <rPr>
        <sz val="10"/>
        <color theme="1"/>
        <rFont val="Arial"/>
        <family val="2"/>
      </rPr>
      <t xml:space="preserve"> - d</t>
    </r>
    <r>
      <rPr>
        <vertAlign val="subscript"/>
        <sz val="10"/>
        <color theme="1"/>
        <rFont val="Arial"/>
        <family val="2"/>
      </rPr>
      <t>owand</t>
    </r>
    <r>
      <rPr>
        <sz val="10"/>
        <color theme="1"/>
        <rFont val="Arial"/>
        <family val="2"/>
      </rPr>
      <t>)*t</t>
    </r>
    <r>
      <rPr>
        <vertAlign val="subscript"/>
        <sz val="10"/>
        <color theme="1"/>
        <rFont val="Arial"/>
        <family val="2"/>
      </rPr>
      <t>wandrand</t>
    </r>
    <r>
      <rPr>
        <sz val="10"/>
        <color theme="1"/>
        <rFont val="Arial"/>
        <family val="2"/>
      </rPr>
      <t xml:space="preserve"> ²/6</t>
    </r>
  </si>
  <si>
    <r>
      <t>W</t>
    </r>
    <r>
      <rPr>
        <vertAlign val="subscript"/>
        <sz val="10"/>
        <color theme="1"/>
        <rFont val="Arial"/>
        <family val="2"/>
      </rPr>
      <t>3wand</t>
    </r>
  </si>
  <si>
    <r>
      <t>W</t>
    </r>
    <r>
      <rPr>
        <vertAlign val="subscript"/>
        <sz val="10"/>
        <color theme="1"/>
        <rFont val="Arial"/>
        <family val="2"/>
      </rPr>
      <t xml:space="preserve">2wand </t>
    </r>
    <r>
      <rPr>
        <sz val="10"/>
        <color theme="1"/>
        <rFont val="Arial"/>
        <family val="2"/>
      </rPr>
      <t>= (a</t>
    </r>
    <r>
      <rPr>
        <vertAlign val="subscript"/>
        <sz val="10"/>
        <color theme="1"/>
        <rFont val="Arial"/>
        <family val="2"/>
      </rPr>
      <t>2a</t>
    </r>
    <r>
      <rPr>
        <sz val="10"/>
        <color theme="1"/>
        <rFont val="Arial"/>
        <family val="2"/>
      </rPr>
      <t xml:space="preserve"> + a</t>
    </r>
    <r>
      <rPr>
        <vertAlign val="subscript"/>
        <sz val="10"/>
        <color theme="1"/>
        <rFont val="Arial"/>
        <family val="2"/>
      </rPr>
      <t>2b</t>
    </r>
    <r>
      <rPr>
        <sz val="10"/>
        <color theme="1"/>
        <rFont val="Arial"/>
        <family val="2"/>
      </rPr>
      <t>)*t</t>
    </r>
    <r>
      <rPr>
        <vertAlign val="subscript"/>
        <sz val="10"/>
        <color theme="1"/>
        <rFont val="Arial"/>
        <family val="2"/>
      </rPr>
      <t>wandrand</t>
    </r>
    <r>
      <rPr>
        <sz val="10"/>
        <color theme="1"/>
        <rFont val="Arial"/>
        <family val="2"/>
      </rPr>
      <t xml:space="preserve"> ²/6</t>
    </r>
  </si>
  <si>
    <r>
      <t>W</t>
    </r>
    <r>
      <rPr>
        <vertAlign val="subscript"/>
        <sz val="10"/>
        <color theme="1"/>
        <rFont val="Arial"/>
        <family val="2"/>
      </rPr>
      <t xml:space="preserve">3wand </t>
    </r>
    <r>
      <rPr>
        <sz val="10"/>
        <color theme="1"/>
        <rFont val="Arial"/>
        <family val="2"/>
      </rPr>
      <t>= (a</t>
    </r>
    <r>
      <rPr>
        <vertAlign val="subscript"/>
        <sz val="10"/>
        <color theme="1"/>
        <rFont val="Arial"/>
        <family val="2"/>
      </rPr>
      <t>2a</t>
    </r>
    <r>
      <rPr>
        <sz val="10"/>
        <color theme="1"/>
        <rFont val="Arial"/>
        <family val="2"/>
      </rPr>
      <t xml:space="preserve"> + a</t>
    </r>
    <r>
      <rPr>
        <vertAlign val="subscript"/>
        <sz val="10"/>
        <color theme="1"/>
        <rFont val="Arial"/>
        <family val="2"/>
      </rPr>
      <t>2b</t>
    </r>
    <r>
      <rPr>
        <sz val="10"/>
        <color theme="1"/>
        <rFont val="Arial"/>
        <family val="2"/>
      </rPr>
      <t>)*t</t>
    </r>
    <r>
      <rPr>
        <vertAlign val="subscript"/>
        <sz val="10"/>
        <color theme="1"/>
        <rFont val="Arial"/>
        <family val="2"/>
      </rPr>
      <t>wandmidden</t>
    </r>
    <r>
      <rPr>
        <sz val="10"/>
        <color theme="1"/>
        <rFont val="Arial"/>
        <family val="2"/>
      </rPr>
      <t xml:space="preserve"> ²/6</t>
    </r>
  </si>
  <si>
    <r>
      <t>M</t>
    </r>
    <r>
      <rPr>
        <vertAlign val="subscript"/>
        <sz val="10"/>
        <color theme="1"/>
        <rFont val="Arial"/>
        <family val="2"/>
      </rPr>
      <t>2wand</t>
    </r>
    <r>
      <rPr>
        <sz val="10"/>
        <color theme="1"/>
        <rFont val="Arial"/>
        <family val="2"/>
      </rPr>
      <t xml:space="preserve"> =  W</t>
    </r>
    <r>
      <rPr>
        <vertAlign val="subscript"/>
        <sz val="10"/>
        <color theme="1"/>
        <rFont val="Arial"/>
        <family val="2"/>
      </rPr>
      <t>3wand</t>
    </r>
  </si>
  <si>
    <t>Wrikkracht</t>
  </si>
  <si>
    <r>
      <t>R</t>
    </r>
    <r>
      <rPr>
        <vertAlign val="subscript"/>
        <sz val="10"/>
        <color theme="1"/>
        <rFont val="Arial"/>
        <family val="2"/>
      </rPr>
      <t>av</t>
    </r>
    <r>
      <rPr>
        <sz val="10"/>
        <color theme="1"/>
        <rFont val="Arial"/>
        <family val="2"/>
      </rPr>
      <t xml:space="preserve"> = G*</t>
    </r>
    <r>
      <rPr>
        <sz val="10"/>
        <color theme="1"/>
        <rFont val="Times New Roman"/>
        <family val="1"/>
      </rPr>
      <t>γ</t>
    </r>
    <r>
      <rPr>
        <vertAlign val="subscript"/>
        <sz val="10"/>
        <color theme="1"/>
        <rFont val="Arial"/>
        <family val="2"/>
      </rPr>
      <t>g</t>
    </r>
    <r>
      <rPr>
        <sz val="10"/>
        <color theme="1"/>
        <rFont val="Arial"/>
        <family val="2"/>
      </rPr>
      <t>/2</t>
    </r>
  </si>
  <si>
    <t>Wingmoment</t>
  </si>
  <si>
    <t>Weerstandsmoment wringing</t>
  </si>
  <si>
    <r>
      <t>W</t>
    </r>
    <r>
      <rPr>
        <vertAlign val="subscript"/>
        <sz val="10"/>
        <color theme="1"/>
        <rFont val="Arial"/>
        <family val="2"/>
      </rPr>
      <t>wring</t>
    </r>
  </si>
  <si>
    <t>breedte sleufgat ankerbout</t>
  </si>
  <si>
    <r>
      <t>A</t>
    </r>
    <r>
      <rPr>
        <vertAlign val="subscript"/>
        <sz val="10"/>
        <color theme="1"/>
        <rFont val="Arial"/>
        <family val="2"/>
      </rPr>
      <t>flens</t>
    </r>
    <r>
      <rPr>
        <sz val="10"/>
        <color theme="1"/>
        <rFont val="Arial"/>
        <family val="2"/>
      </rPr>
      <t xml:space="preserve"> = (h</t>
    </r>
    <r>
      <rPr>
        <vertAlign val="subscript"/>
        <sz val="10"/>
        <color theme="1"/>
        <rFont val="Arial"/>
        <family val="2"/>
      </rPr>
      <t>flens</t>
    </r>
    <r>
      <rPr>
        <sz val="10"/>
        <color theme="1"/>
        <rFont val="Arial"/>
        <family val="2"/>
      </rPr>
      <t>-L</t>
    </r>
    <r>
      <rPr>
        <vertAlign val="subscript"/>
        <sz val="10"/>
        <color theme="1"/>
        <rFont val="Arial"/>
        <family val="2"/>
      </rPr>
      <t>s</t>
    </r>
    <r>
      <rPr>
        <sz val="10"/>
        <color theme="1"/>
        <rFont val="Arial"/>
        <family val="2"/>
      </rPr>
      <t>)*t</t>
    </r>
    <r>
      <rPr>
        <vertAlign val="subscript"/>
        <sz val="10"/>
        <color theme="1"/>
        <rFont val="Arial"/>
        <family val="2"/>
      </rPr>
      <t>flens</t>
    </r>
  </si>
  <si>
    <t>maximaal toelaatbare stuikkacht</t>
  </si>
  <si>
    <r>
      <t>F</t>
    </r>
    <r>
      <rPr>
        <vertAlign val="subscript"/>
        <sz val="10"/>
        <color theme="1"/>
        <rFont val="Arial"/>
        <family val="2"/>
      </rPr>
      <t xml:space="preserve">b,Rd </t>
    </r>
    <r>
      <rPr>
        <sz val="10"/>
        <color theme="1"/>
        <rFont val="Arial"/>
        <family val="2"/>
      </rPr>
      <t>= k</t>
    </r>
    <r>
      <rPr>
        <vertAlign val="subscript"/>
        <sz val="10"/>
        <color theme="1"/>
        <rFont val="Arial"/>
        <family val="2"/>
      </rPr>
      <t>1</t>
    </r>
    <r>
      <rPr>
        <sz val="10"/>
        <color theme="1"/>
        <rFont val="Arial"/>
        <family val="2"/>
      </rPr>
      <t>*α</t>
    </r>
    <r>
      <rPr>
        <vertAlign val="subscript"/>
        <sz val="10"/>
        <color theme="1"/>
        <rFont val="Arial"/>
        <family val="2"/>
      </rPr>
      <t>b</t>
    </r>
    <r>
      <rPr>
        <sz val="10"/>
        <color theme="1"/>
        <rFont val="Arial"/>
        <family val="2"/>
      </rPr>
      <t>*f</t>
    </r>
    <r>
      <rPr>
        <vertAlign val="subscript"/>
        <sz val="10"/>
        <color theme="1"/>
        <rFont val="Arial"/>
        <family val="2"/>
      </rPr>
      <t>u</t>
    </r>
    <r>
      <rPr>
        <sz val="10"/>
        <color theme="1"/>
        <rFont val="Arial"/>
        <family val="2"/>
      </rPr>
      <t>*d*t/ γ</t>
    </r>
    <r>
      <rPr>
        <vertAlign val="subscript"/>
        <sz val="10"/>
        <color theme="1"/>
        <rFont val="Arial"/>
        <family val="2"/>
      </rPr>
      <t>M2</t>
    </r>
  </si>
  <si>
    <r>
      <t>e</t>
    </r>
    <r>
      <rPr>
        <vertAlign val="subscript"/>
        <sz val="10"/>
        <color theme="1"/>
        <rFont val="Arial"/>
        <family val="2"/>
      </rPr>
      <t>4inf</t>
    </r>
  </si>
  <si>
    <r>
      <t>e</t>
    </r>
    <r>
      <rPr>
        <vertAlign val="subscript"/>
        <sz val="10"/>
        <color theme="1"/>
        <rFont val="Arial"/>
        <family val="2"/>
      </rPr>
      <t>4min</t>
    </r>
    <r>
      <rPr>
        <sz val="10"/>
        <color theme="1"/>
        <rFont val="Arial"/>
        <family val="2"/>
      </rPr>
      <t xml:space="preserve"> = d</t>
    </r>
    <r>
      <rPr>
        <vertAlign val="subscript"/>
        <sz val="10"/>
        <color theme="1"/>
        <rFont val="Arial"/>
        <family val="2"/>
      </rPr>
      <t>flens</t>
    </r>
    <r>
      <rPr>
        <sz val="10"/>
        <color theme="1"/>
        <rFont val="Arial"/>
        <family val="2"/>
      </rPr>
      <t xml:space="preserve"> +1</t>
    </r>
  </si>
  <si>
    <r>
      <t>e</t>
    </r>
    <r>
      <rPr>
        <vertAlign val="subscript"/>
        <sz val="10"/>
        <color theme="1"/>
        <rFont val="Arial"/>
        <family val="2"/>
      </rPr>
      <t>3min</t>
    </r>
  </si>
  <si>
    <t>breedte sleufgat</t>
  </si>
  <si>
    <t>onderdruk in uiterste grenstoestand (UGT)</t>
  </si>
  <si>
    <r>
      <t>Q = M</t>
    </r>
    <r>
      <rPr>
        <vertAlign val="subscript"/>
        <sz val="10"/>
        <color theme="1"/>
        <rFont val="Arial"/>
        <family val="2"/>
      </rPr>
      <t>1wand</t>
    </r>
    <r>
      <rPr>
        <sz val="10"/>
        <color theme="1"/>
        <rFont val="Arial"/>
        <family val="2"/>
      </rPr>
      <t>/b</t>
    </r>
    <r>
      <rPr>
        <vertAlign val="subscript"/>
        <sz val="10"/>
        <color theme="1"/>
        <rFont val="Arial"/>
        <family val="2"/>
      </rPr>
      <t>1</t>
    </r>
  </si>
  <si>
    <t>randafstand vertikaal</t>
  </si>
  <si>
    <r>
      <t>W</t>
    </r>
    <r>
      <rPr>
        <vertAlign val="subscript"/>
        <sz val="10"/>
        <color theme="1"/>
        <rFont val="Arial"/>
        <family val="2"/>
      </rPr>
      <t xml:space="preserve">1wand </t>
    </r>
    <r>
      <rPr>
        <sz val="10"/>
        <color theme="1"/>
        <rFont val="Arial"/>
        <family val="2"/>
      </rPr>
      <t>= (2*a</t>
    </r>
    <r>
      <rPr>
        <vertAlign val="subscript"/>
        <sz val="10"/>
        <color theme="1"/>
        <rFont val="Arial"/>
        <family val="2"/>
      </rPr>
      <t>2</t>
    </r>
    <r>
      <rPr>
        <sz val="10"/>
        <color theme="1"/>
        <rFont val="Arial"/>
        <family val="2"/>
      </rPr>
      <t xml:space="preserve"> - d</t>
    </r>
    <r>
      <rPr>
        <vertAlign val="subscript"/>
        <sz val="10"/>
        <color theme="1"/>
        <rFont val="Arial"/>
        <family val="2"/>
      </rPr>
      <t>owand</t>
    </r>
    <r>
      <rPr>
        <sz val="10"/>
        <color theme="1"/>
        <rFont val="Arial"/>
        <family val="2"/>
      </rPr>
      <t>)*t</t>
    </r>
    <r>
      <rPr>
        <vertAlign val="subscript"/>
        <sz val="10"/>
        <color theme="1"/>
        <rFont val="Arial"/>
        <family val="2"/>
      </rPr>
      <t>wandrand</t>
    </r>
    <r>
      <rPr>
        <sz val="10"/>
        <color theme="1"/>
        <rFont val="Arial"/>
        <family val="2"/>
      </rPr>
      <t xml:space="preserve"> ²/6</t>
    </r>
  </si>
  <si>
    <r>
      <t>W</t>
    </r>
    <r>
      <rPr>
        <vertAlign val="subscript"/>
        <sz val="10"/>
        <color theme="1"/>
        <rFont val="Arial"/>
        <family val="2"/>
      </rPr>
      <t xml:space="preserve">2wand </t>
    </r>
    <r>
      <rPr>
        <sz val="10"/>
        <color theme="1"/>
        <rFont val="Arial"/>
        <family val="2"/>
      </rPr>
      <t>= (2*a</t>
    </r>
    <r>
      <rPr>
        <vertAlign val="subscript"/>
        <sz val="10"/>
        <color theme="1"/>
        <rFont val="Arial"/>
        <family val="2"/>
      </rPr>
      <t>2</t>
    </r>
    <r>
      <rPr>
        <sz val="10"/>
        <color theme="1"/>
        <rFont val="Arial"/>
        <family val="2"/>
      </rPr>
      <t>)*t</t>
    </r>
    <r>
      <rPr>
        <vertAlign val="subscript"/>
        <sz val="10"/>
        <color theme="1"/>
        <rFont val="Arial"/>
        <family val="2"/>
      </rPr>
      <t>wandrand</t>
    </r>
    <r>
      <rPr>
        <sz val="10"/>
        <color theme="1"/>
        <rFont val="Arial"/>
        <family val="2"/>
      </rPr>
      <t xml:space="preserve"> ²/6</t>
    </r>
  </si>
  <si>
    <r>
      <t>W</t>
    </r>
    <r>
      <rPr>
        <vertAlign val="subscript"/>
        <sz val="10"/>
        <color theme="1"/>
        <rFont val="Arial"/>
        <family val="2"/>
      </rPr>
      <t xml:space="preserve">3wand </t>
    </r>
    <r>
      <rPr>
        <sz val="10"/>
        <color theme="1"/>
        <rFont val="Arial"/>
        <family val="2"/>
      </rPr>
      <t>= (2*a</t>
    </r>
    <r>
      <rPr>
        <vertAlign val="subscript"/>
        <sz val="10"/>
        <color theme="1"/>
        <rFont val="Arial"/>
        <family val="2"/>
      </rPr>
      <t>2</t>
    </r>
    <r>
      <rPr>
        <sz val="10"/>
        <color theme="1"/>
        <rFont val="Arial"/>
        <family val="2"/>
      </rPr>
      <t>)*t</t>
    </r>
    <r>
      <rPr>
        <vertAlign val="subscript"/>
        <sz val="10"/>
        <color theme="1"/>
        <rFont val="Arial"/>
        <family val="2"/>
      </rPr>
      <t>wandmidden</t>
    </r>
    <r>
      <rPr>
        <sz val="10"/>
        <color theme="1"/>
        <rFont val="Arial"/>
        <family val="2"/>
      </rPr>
      <t xml:space="preserve"> ²/6</t>
    </r>
  </si>
  <si>
    <r>
      <t>e</t>
    </r>
    <r>
      <rPr>
        <vertAlign val="subscript"/>
        <sz val="10"/>
        <color theme="1"/>
        <rFont val="Arial"/>
        <family val="2"/>
      </rPr>
      <t>4inf</t>
    </r>
    <r>
      <rPr>
        <sz val="10"/>
        <color theme="1"/>
        <rFont val="Arial"/>
        <family val="2"/>
      </rPr>
      <t xml:space="preserve"> = e</t>
    </r>
    <r>
      <rPr>
        <vertAlign val="subscript"/>
        <sz val="10"/>
        <color theme="1"/>
        <rFont val="Arial"/>
        <family val="2"/>
      </rPr>
      <t>4</t>
    </r>
    <r>
      <rPr>
        <sz val="10"/>
        <color theme="1"/>
        <rFont val="Arial"/>
        <family val="2"/>
      </rPr>
      <t>+(d+1)/2</t>
    </r>
  </si>
  <si>
    <r>
      <t>e</t>
    </r>
    <r>
      <rPr>
        <vertAlign val="subscript"/>
        <sz val="10"/>
        <color theme="1"/>
        <rFont val="Arial"/>
        <family val="2"/>
      </rPr>
      <t>4</t>
    </r>
  </si>
  <si>
    <r>
      <t>k</t>
    </r>
    <r>
      <rPr>
        <vertAlign val="subscript"/>
        <sz val="10"/>
        <color theme="1"/>
        <rFont val="Arial"/>
        <family val="2"/>
      </rPr>
      <t>1</t>
    </r>
    <r>
      <rPr>
        <sz val="10"/>
        <color theme="1"/>
        <rFont val="Arial"/>
        <family val="2"/>
      </rPr>
      <t>=min(2,8*e</t>
    </r>
    <r>
      <rPr>
        <vertAlign val="subscript"/>
        <sz val="10"/>
        <color theme="1"/>
        <rFont val="Arial"/>
        <family val="2"/>
      </rPr>
      <t>4inf</t>
    </r>
    <r>
      <rPr>
        <sz val="10"/>
        <color theme="1"/>
        <rFont val="Arial"/>
        <family val="2"/>
      </rPr>
      <t>/d</t>
    </r>
    <r>
      <rPr>
        <vertAlign val="subscript"/>
        <sz val="10"/>
        <color theme="1"/>
        <rFont val="Arial"/>
        <family val="2"/>
      </rPr>
      <t>0</t>
    </r>
    <r>
      <rPr>
        <sz val="10"/>
        <color theme="1"/>
        <rFont val="Arial"/>
        <family val="2"/>
      </rPr>
      <t>-1,7; 2,5)</t>
    </r>
  </si>
  <si>
    <r>
      <t>e</t>
    </r>
    <r>
      <rPr>
        <vertAlign val="subscript"/>
        <sz val="10"/>
        <color theme="1"/>
        <rFont val="Arial"/>
        <family val="2"/>
      </rPr>
      <t>4min</t>
    </r>
  </si>
  <si>
    <r>
      <t>e</t>
    </r>
    <r>
      <rPr>
        <vertAlign val="subscript"/>
        <sz val="10"/>
        <color theme="1"/>
        <rFont val="Arial"/>
        <family val="2"/>
      </rPr>
      <t>3</t>
    </r>
  </si>
  <si>
    <r>
      <t>e</t>
    </r>
    <r>
      <rPr>
        <vertAlign val="subscript"/>
        <sz val="10"/>
        <color theme="1"/>
        <rFont val="Arial"/>
        <family val="2"/>
      </rPr>
      <t>3inf</t>
    </r>
  </si>
  <si>
    <t>rekenwaarde randafstand horizontaal</t>
  </si>
  <si>
    <t>rekenwaarde randafstand vertikaal</t>
  </si>
  <si>
    <r>
      <t>e</t>
    </r>
    <r>
      <rPr>
        <vertAlign val="subscript"/>
        <sz val="10"/>
        <color theme="1"/>
        <rFont val="Arial"/>
        <family val="2"/>
      </rPr>
      <t>3inf</t>
    </r>
    <r>
      <rPr>
        <sz val="10"/>
        <color theme="1"/>
        <rFont val="Arial"/>
        <family val="2"/>
      </rPr>
      <t>=e</t>
    </r>
    <r>
      <rPr>
        <vertAlign val="subscript"/>
        <sz val="10"/>
        <color theme="1"/>
        <rFont val="Arial"/>
        <family val="2"/>
      </rPr>
      <t>3</t>
    </r>
    <r>
      <rPr>
        <sz val="10"/>
        <color theme="1"/>
        <rFont val="Arial"/>
        <family val="2"/>
      </rPr>
      <t>+(d+1)/2</t>
    </r>
  </si>
  <si>
    <r>
      <t>sleufgat : α</t>
    </r>
    <r>
      <rPr>
        <vertAlign val="subscript"/>
        <sz val="10"/>
        <color theme="1"/>
        <rFont val="Arial"/>
        <family val="2"/>
      </rPr>
      <t>b</t>
    </r>
    <r>
      <rPr>
        <sz val="10"/>
        <color theme="1"/>
        <rFont val="Arial"/>
        <family val="2"/>
      </rPr>
      <t xml:space="preserve"> = min(e</t>
    </r>
    <r>
      <rPr>
        <vertAlign val="subscript"/>
        <sz val="10"/>
        <color theme="1"/>
        <rFont val="Arial"/>
        <family val="2"/>
      </rPr>
      <t>3inf</t>
    </r>
    <r>
      <rPr>
        <sz val="10"/>
        <color theme="1"/>
        <rFont val="Arial"/>
        <family val="2"/>
      </rPr>
      <t>/3d</t>
    </r>
    <r>
      <rPr>
        <vertAlign val="subscript"/>
        <sz val="10"/>
        <color theme="1"/>
        <rFont val="Arial"/>
        <family val="2"/>
      </rPr>
      <t>0</t>
    </r>
    <r>
      <rPr>
        <sz val="10"/>
        <color theme="1"/>
        <rFont val="Arial"/>
        <family val="2"/>
      </rPr>
      <t>; 0,66, f</t>
    </r>
    <r>
      <rPr>
        <vertAlign val="subscript"/>
        <sz val="10"/>
        <color theme="1"/>
        <rFont val="Arial"/>
        <family val="2"/>
      </rPr>
      <t>ub</t>
    </r>
    <r>
      <rPr>
        <sz val="10"/>
        <color theme="1"/>
        <rFont val="Arial"/>
        <family val="2"/>
      </rPr>
      <t>/f</t>
    </r>
    <r>
      <rPr>
        <vertAlign val="subscript"/>
        <sz val="10"/>
        <color theme="1"/>
        <rFont val="Arial"/>
        <family val="2"/>
      </rPr>
      <t>u</t>
    </r>
    <r>
      <rPr>
        <sz val="10"/>
        <color theme="1"/>
        <rFont val="Arial"/>
        <family val="2"/>
      </rPr>
      <t>)</t>
    </r>
  </si>
  <si>
    <t>druk in uiterste grenstoestand (UGT)</t>
  </si>
  <si>
    <r>
      <t>W</t>
    </r>
    <r>
      <rPr>
        <vertAlign val="subscript"/>
        <sz val="10"/>
        <color theme="1"/>
        <rFont val="Arial"/>
        <family val="2"/>
      </rPr>
      <t>UGTmin</t>
    </r>
  </si>
  <si>
    <r>
      <t>W</t>
    </r>
    <r>
      <rPr>
        <vertAlign val="subscript"/>
        <sz val="10"/>
        <color theme="1"/>
        <rFont val="Arial"/>
        <family val="2"/>
      </rPr>
      <t>UGTplus</t>
    </r>
  </si>
  <si>
    <r>
      <t>M</t>
    </r>
    <r>
      <rPr>
        <vertAlign val="subscript"/>
        <sz val="10"/>
        <color theme="1"/>
        <rFont val="Arial"/>
        <family val="2"/>
      </rPr>
      <t>1wand</t>
    </r>
    <r>
      <rPr>
        <sz val="10"/>
        <color theme="1"/>
        <rFont val="Arial"/>
        <family val="2"/>
      </rPr>
      <t xml:space="preserve"> =  - ( a</t>
    </r>
    <r>
      <rPr>
        <vertAlign val="subscript"/>
        <sz val="10"/>
        <color theme="1"/>
        <rFont val="Arial"/>
        <family val="2"/>
      </rPr>
      <t>1</t>
    </r>
    <r>
      <rPr>
        <sz val="10"/>
        <color theme="1"/>
        <rFont val="Arial"/>
        <family val="2"/>
      </rPr>
      <t>²/L</t>
    </r>
    <r>
      <rPr>
        <vertAlign val="subscript"/>
        <sz val="10"/>
        <color theme="1"/>
        <rFont val="Arial"/>
        <family val="2"/>
      </rPr>
      <t xml:space="preserve">wand - </t>
    </r>
    <r>
      <rPr>
        <sz val="10"/>
        <color theme="1"/>
        <rFont val="Arial"/>
        <family val="2"/>
      </rPr>
      <t>a</t>
    </r>
    <r>
      <rPr>
        <vertAlign val="subscript"/>
        <sz val="10"/>
        <color theme="1"/>
        <rFont val="Arial"/>
        <family val="2"/>
      </rPr>
      <t>1</t>
    </r>
    <r>
      <rPr>
        <sz val="10"/>
        <color theme="1"/>
        <rFont val="Arial"/>
        <family val="2"/>
      </rPr>
      <t>)*W</t>
    </r>
    <r>
      <rPr>
        <vertAlign val="subscript"/>
        <sz val="10"/>
        <color theme="1"/>
        <rFont val="Arial"/>
        <family val="2"/>
      </rPr>
      <t>UGTmin</t>
    </r>
    <r>
      <rPr>
        <sz val="10"/>
        <color theme="1"/>
        <rFont val="Arial"/>
        <family val="2"/>
      </rPr>
      <t>/2</t>
    </r>
  </si>
  <si>
    <r>
      <t>M</t>
    </r>
    <r>
      <rPr>
        <vertAlign val="subscript"/>
        <sz val="10"/>
        <color theme="1"/>
        <rFont val="Arial"/>
        <family val="2"/>
      </rPr>
      <t>2wand</t>
    </r>
    <r>
      <rPr>
        <sz val="10"/>
        <color theme="1"/>
        <rFont val="Arial"/>
        <family val="2"/>
      </rPr>
      <t xml:space="preserve"> = M</t>
    </r>
    <r>
      <rPr>
        <vertAlign val="subscript"/>
        <sz val="10"/>
        <color theme="1"/>
        <rFont val="Arial"/>
        <family val="2"/>
      </rPr>
      <t>1wand</t>
    </r>
    <r>
      <rPr>
        <sz val="10"/>
        <color theme="1"/>
        <rFont val="Arial"/>
        <family val="2"/>
      </rPr>
      <t xml:space="preserve"> - a</t>
    </r>
    <r>
      <rPr>
        <vertAlign val="subscript"/>
        <sz val="10"/>
        <color theme="1"/>
        <rFont val="Arial"/>
        <family val="2"/>
      </rPr>
      <t>1</t>
    </r>
    <r>
      <rPr>
        <sz val="10"/>
        <color theme="1"/>
        <rFont val="Arial"/>
        <family val="2"/>
      </rPr>
      <t>*W</t>
    </r>
    <r>
      <rPr>
        <vertAlign val="subscript"/>
        <sz val="10"/>
        <color theme="1"/>
        <rFont val="Arial"/>
        <family val="2"/>
      </rPr>
      <t>UGTmin</t>
    </r>
    <r>
      <rPr>
        <sz val="10"/>
        <color theme="1"/>
        <rFont val="Arial"/>
        <family val="2"/>
      </rPr>
      <t>/2</t>
    </r>
  </si>
  <si>
    <r>
      <t>R</t>
    </r>
    <r>
      <rPr>
        <vertAlign val="subscript"/>
        <sz val="10"/>
        <color theme="1"/>
        <rFont val="Arial"/>
        <family val="2"/>
      </rPr>
      <t>ah</t>
    </r>
    <r>
      <rPr>
        <sz val="10"/>
        <color theme="1"/>
        <rFont val="Arial"/>
        <family val="2"/>
      </rPr>
      <t xml:space="preserve"> = - ( Q + W</t>
    </r>
    <r>
      <rPr>
        <vertAlign val="subscript"/>
        <sz val="10"/>
        <color theme="1"/>
        <rFont val="Arial"/>
        <family val="2"/>
      </rPr>
      <t>UTGmin</t>
    </r>
    <r>
      <rPr>
        <sz val="10"/>
        <color theme="1"/>
        <rFont val="Arial"/>
        <family val="2"/>
      </rPr>
      <t>/2)</t>
    </r>
  </si>
  <si>
    <r>
      <rPr>
        <sz val="11"/>
        <color theme="1"/>
        <rFont val="Times New Roman"/>
        <family val="1"/>
      </rPr>
      <t>χ</t>
    </r>
    <r>
      <rPr>
        <vertAlign val="subscript"/>
        <sz val="10"/>
        <color theme="1"/>
        <rFont val="Arial"/>
        <family val="2"/>
      </rPr>
      <t>d</t>
    </r>
  </si>
  <si>
    <r>
      <rPr>
        <sz val="11"/>
        <color theme="1"/>
        <rFont val="Times New Roman"/>
        <family val="1"/>
      </rPr>
      <t>γ</t>
    </r>
    <r>
      <rPr>
        <vertAlign val="subscript"/>
        <sz val="10"/>
        <color theme="1"/>
        <rFont val="Arial"/>
        <family val="2"/>
      </rPr>
      <t>M2profiel</t>
    </r>
  </si>
  <si>
    <r>
      <rPr>
        <sz val="11"/>
        <color theme="1"/>
        <rFont val="Arial"/>
        <family val="2"/>
      </rPr>
      <t>α</t>
    </r>
    <r>
      <rPr>
        <vertAlign val="subscript"/>
        <sz val="10"/>
        <color theme="1"/>
        <rFont val="Arial"/>
        <family val="2"/>
      </rPr>
      <t>v</t>
    </r>
  </si>
  <si>
    <r>
      <rPr>
        <sz val="11"/>
        <color theme="1"/>
        <rFont val="Arial"/>
        <family val="2"/>
      </rPr>
      <t>α</t>
    </r>
    <r>
      <rPr>
        <vertAlign val="subscript"/>
        <sz val="10"/>
        <color theme="1"/>
        <rFont val="Arial"/>
        <family val="2"/>
      </rPr>
      <t>red;2</t>
    </r>
  </si>
  <si>
    <r>
      <t>F</t>
    </r>
    <r>
      <rPr>
        <vertAlign val="subscript"/>
        <sz val="10"/>
        <color theme="1"/>
        <rFont val="Arial"/>
        <family val="2"/>
      </rPr>
      <t>v,Rd</t>
    </r>
    <r>
      <rPr>
        <sz val="10"/>
        <color theme="1"/>
        <rFont val="Arial"/>
        <family val="2"/>
      </rPr>
      <t xml:space="preserve">= </t>
    </r>
    <r>
      <rPr>
        <sz val="11"/>
        <color theme="1"/>
        <rFont val="Arial"/>
        <family val="2"/>
      </rPr>
      <t>α</t>
    </r>
    <r>
      <rPr>
        <vertAlign val="subscript"/>
        <sz val="10"/>
        <color theme="1"/>
        <rFont val="Arial"/>
        <family val="2"/>
      </rPr>
      <t>v</t>
    </r>
    <r>
      <rPr>
        <sz val="10"/>
        <color theme="1"/>
        <rFont val="Arial"/>
        <family val="2"/>
      </rPr>
      <t>*f</t>
    </r>
    <r>
      <rPr>
        <vertAlign val="subscript"/>
        <sz val="10"/>
        <color theme="1"/>
        <rFont val="Arial"/>
        <family val="2"/>
      </rPr>
      <t>ub</t>
    </r>
    <r>
      <rPr>
        <sz val="10"/>
        <color theme="1"/>
        <rFont val="Arial"/>
        <family val="2"/>
      </rPr>
      <t>*</t>
    </r>
    <r>
      <rPr>
        <sz val="11"/>
        <color theme="1"/>
        <rFont val="Arial"/>
        <family val="2"/>
      </rPr>
      <t>α</t>
    </r>
    <r>
      <rPr>
        <vertAlign val="subscript"/>
        <sz val="10"/>
        <color theme="1"/>
        <rFont val="Arial"/>
        <family val="2"/>
      </rPr>
      <t>red;2</t>
    </r>
    <r>
      <rPr>
        <sz val="10"/>
        <color theme="1"/>
        <rFont val="Arial"/>
        <family val="2"/>
      </rPr>
      <t xml:space="preserve">*A/ </t>
    </r>
    <r>
      <rPr>
        <sz val="11"/>
        <color theme="1"/>
        <rFont val="Times New Roman"/>
        <family val="1"/>
      </rPr>
      <t>γ</t>
    </r>
    <r>
      <rPr>
        <vertAlign val="subscript"/>
        <sz val="10"/>
        <color theme="1"/>
        <rFont val="Arial"/>
        <family val="2"/>
      </rPr>
      <t>M2</t>
    </r>
  </si>
  <si>
    <r>
      <t>W</t>
    </r>
    <r>
      <rPr>
        <vertAlign val="subscript"/>
        <sz val="10"/>
        <color theme="1"/>
        <rFont val="Arial"/>
        <family val="2"/>
      </rPr>
      <t>UGTmin</t>
    </r>
    <r>
      <rPr>
        <sz val="10"/>
        <color theme="1"/>
        <rFont val="Arial"/>
        <family val="2"/>
      </rPr>
      <t>/(2*A</t>
    </r>
    <r>
      <rPr>
        <vertAlign val="subscript"/>
        <sz val="10"/>
        <color theme="1"/>
        <rFont val="Arial"/>
        <family val="2"/>
      </rPr>
      <t>flens</t>
    </r>
    <r>
      <rPr>
        <sz val="10"/>
        <color theme="1"/>
        <rFont val="Arial"/>
        <family val="2"/>
      </rPr>
      <t>)</t>
    </r>
  </si>
  <si>
    <r>
      <t>F</t>
    </r>
    <r>
      <rPr>
        <vertAlign val="subscript"/>
        <sz val="10"/>
        <color theme="1"/>
        <rFont val="Arial"/>
        <family val="2"/>
      </rPr>
      <t>section</t>
    </r>
  </si>
  <si>
    <r>
      <t>IF F</t>
    </r>
    <r>
      <rPr>
        <vertAlign val="subscript"/>
        <sz val="10"/>
        <color theme="1"/>
        <rFont val="Arial"/>
        <family val="2"/>
      </rPr>
      <t>v,Rd</t>
    </r>
    <r>
      <rPr>
        <sz val="10"/>
        <color theme="1"/>
        <rFont val="Arial"/>
        <family val="2"/>
      </rPr>
      <t xml:space="preserve"> &gt; F</t>
    </r>
    <r>
      <rPr>
        <vertAlign val="subscript"/>
        <sz val="10"/>
        <color theme="1"/>
        <rFont val="Arial"/>
        <family val="2"/>
      </rPr>
      <t>section</t>
    </r>
    <r>
      <rPr>
        <sz val="10"/>
        <color theme="1"/>
        <rFont val="Arial"/>
        <family val="2"/>
      </rPr>
      <t xml:space="preserve"> -&gt; OK</t>
    </r>
  </si>
  <si>
    <r>
      <t>IF F</t>
    </r>
    <r>
      <rPr>
        <vertAlign val="subscript"/>
        <sz val="10"/>
        <color theme="1"/>
        <rFont val="Arial"/>
        <family val="2"/>
      </rPr>
      <t>b,Rd</t>
    </r>
    <r>
      <rPr>
        <sz val="10"/>
        <color theme="1"/>
        <rFont val="Arial"/>
        <family val="2"/>
      </rPr>
      <t xml:space="preserve"> &gt; F</t>
    </r>
    <r>
      <rPr>
        <vertAlign val="subscript"/>
        <sz val="10"/>
        <color theme="1"/>
        <rFont val="Arial"/>
        <family val="2"/>
      </rPr>
      <t>section</t>
    </r>
    <r>
      <rPr>
        <sz val="10"/>
        <color theme="1"/>
        <rFont val="Arial"/>
        <family val="2"/>
      </rPr>
      <t xml:space="preserve"> -&gt; OK</t>
    </r>
  </si>
  <si>
    <t>maximale kracht per snede</t>
  </si>
  <si>
    <r>
      <t>d</t>
    </r>
    <r>
      <rPr>
        <vertAlign val="subscript"/>
        <sz val="10"/>
        <color theme="1"/>
        <rFont val="Arial"/>
        <family val="2"/>
      </rPr>
      <t>owand</t>
    </r>
    <r>
      <rPr>
        <sz val="10"/>
        <color theme="1"/>
        <rFont val="Arial"/>
        <family val="2"/>
      </rPr>
      <t xml:space="preserve"> = d</t>
    </r>
    <r>
      <rPr>
        <vertAlign val="subscript"/>
        <sz val="10"/>
        <color theme="1"/>
        <rFont val="Arial"/>
        <family val="2"/>
      </rPr>
      <t>anker</t>
    </r>
    <r>
      <rPr>
        <sz val="10"/>
        <color theme="1"/>
        <rFont val="Arial"/>
        <family val="2"/>
      </rPr>
      <t xml:space="preserve"> +1 mm</t>
    </r>
  </si>
  <si>
    <r>
      <t>A</t>
    </r>
    <r>
      <rPr>
        <vertAlign val="subscript"/>
        <sz val="10"/>
        <color theme="1"/>
        <rFont val="Arial"/>
        <family val="2"/>
      </rPr>
      <t>flens</t>
    </r>
    <r>
      <rPr>
        <sz val="10"/>
        <color theme="1"/>
        <rFont val="Arial"/>
        <family val="2"/>
      </rPr>
      <t xml:space="preserve"> = h</t>
    </r>
    <r>
      <rPr>
        <vertAlign val="subscript"/>
        <sz val="10"/>
        <color theme="1"/>
        <rFont val="Arial"/>
        <family val="2"/>
      </rPr>
      <t>flens</t>
    </r>
    <r>
      <rPr>
        <sz val="10"/>
        <color theme="1"/>
        <rFont val="Arial"/>
        <family val="2"/>
      </rPr>
      <t>*t</t>
    </r>
    <r>
      <rPr>
        <vertAlign val="subscript"/>
        <sz val="10"/>
        <color theme="1"/>
        <rFont val="Arial"/>
        <family val="2"/>
      </rPr>
      <t>flens</t>
    </r>
  </si>
  <si>
    <t>e2inf=min(e2a;e2b)</t>
  </si>
  <si>
    <t>boor diameter</t>
  </si>
  <si>
    <r>
      <t>e</t>
    </r>
    <r>
      <rPr>
        <vertAlign val="subscript"/>
        <sz val="10"/>
        <color theme="1"/>
        <rFont val="Arial"/>
        <family val="2"/>
      </rPr>
      <t>1inf</t>
    </r>
  </si>
  <si>
    <r>
      <t>e</t>
    </r>
    <r>
      <rPr>
        <vertAlign val="subscript"/>
        <sz val="10"/>
        <color theme="1"/>
        <rFont val="Arial"/>
        <family val="2"/>
      </rPr>
      <t>2a</t>
    </r>
  </si>
  <si>
    <r>
      <t>e</t>
    </r>
    <r>
      <rPr>
        <vertAlign val="subscript"/>
        <sz val="10"/>
        <color theme="1"/>
        <rFont val="Arial"/>
        <family val="2"/>
      </rPr>
      <t>2b</t>
    </r>
  </si>
  <si>
    <r>
      <t>e</t>
    </r>
    <r>
      <rPr>
        <vertAlign val="subscript"/>
        <sz val="10"/>
        <color theme="1"/>
        <rFont val="Arial"/>
        <family val="2"/>
      </rPr>
      <t>2inf</t>
    </r>
  </si>
  <si>
    <r>
      <t>e</t>
    </r>
    <r>
      <rPr>
        <vertAlign val="subscript"/>
        <sz val="10"/>
        <color theme="1"/>
        <rFont val="Arial"/>
        <family val="2"/>
      </rPr>
      <t>1inf</t>
    </r>
    <r>
      <rPr>
        <sz val="10"/>
        <color theme="1"/>
        <rFont val="Arial"/>
        <family val="2"/>
      </rPr>
      <t>=e</t>
    </r>
    <r>
      <rPr>
        <vertAlign val="subscript"/>
        <sz val="10"/>
        <color theme="1"/>
        <rFont val="Arial"/>
        <family val="2"/>
      </rPr>
      <t>1</t>
    </r>
  </si>
  <si>
    <r>
      <t>M</t>
    </r>
    <r>
      <rPr>
        <vertAlign val="subscript"/>
        <sz val="10"/>
        <color theme="1"/>
        <rFont val="Arial"/>
        <family val="2"/>
      </rPr>
      <t>1wand</t>
    </r>
    <r>
      <rPr>
        <sz val="10"/>
        <color theme="1"/>
        <rFont val="Arial"/>
        <family val="2"/>
      </rPr>
      <t xml:space="preserve"> =  -(a</t>
    </r>
    <r>
      <rPr>
        <vertAlign val="subscript"/>
        <sz val="10"/>
        <color theme="1"/>
        <rFont val="Arial"/>
        <family val="2"/>
      </rPr>
      <t>1</t>
    </r>
    <r>
      <rPr>
        <sz val="10"/>
        <color theme="1"/>
        <rFont val="Arial"/>
        <family val="2"/>
      </rPr>
      <t>²/L</t>
    </r>
    <r>
      <rPr>
        <vertAlign val="subscript"/>
        <sz val="10"/>
        <color theme="1"/>
        <rFont val="Arial"/>
        <family val="2"/>
      </rPr>
      <t>wand</t>
    </r>
    <r>
      <rPr>
        <sz val="10"/>
        <color theme="1"/>
        <rFont val="Arial"/>
        <family val="2"/>
      </rPr>
      <t xml:space="preserve"> - a</t>
    </r>
    <r>
      <rPr>
        <vertAlign val="subscript"/>
        <sz val="10"/>
        <color theme="1"/>
        <rFont val="Arial"/>
        <family val="2"/>
      </rPr>
      <t>1</t>
    </r>
    <r>
      <rPr>
        <sz val="10"/>
        <color theme="1"/>
        <rFont val="Arial"/>
        <family val="2"/>
      </rPr>
      <t>)*W</t>
    </r>
    <r>
      <rPr>
        <vertAlign val="subscript"/>
        <sz val="10"/>
        <color theme="1"/>
        <rFont val="Arial"/>
        <family val="2"/>
      </rPr>
      <t>UGTmin</t>
    </r>
    <r>
      <rPr>
        <sz val="10"/>
        <color theme="1"/>
        <rFont val="Arial"/>
        <family val="2"/>
      </rPr>
      <t>/2</t>
    </r>
  </si>
  <si>
    <r>
      <t>M</t>
    </r>
    <r>
      <rPr>
        <vertAlign val="subscript"/>
        <sz val="10"/>
        <color theme="1"/>
        <rFont val="Arial"/>
        <family val="2"/>
      </rPr>
      <t>flens</t>
    </r>
    <r>
      <rPr>
        <sz val="10"/>
        <color theme="1"/>
        <rFont val="Arial"/>
        <family val="2"/>
      </rPr>
      <t>/W</t>
    </r>
    <r>
      <rPr>
        <vertAlign val="subscript"/>
        <sz val="10"/>
        <color theme="1"/>
        <rFont val="Arial"/>
        <family val="2"/>
      </rPr>
      <t xml:space="preserve">xflens </t>
    </r>
    <r>
      <rPr>
        <sz val="10"/>
        <color theme="1"/>
        <rFont val="Arial"/>
        <family val="2"/>
      </rPr>
      <t>+MAX(ABS(W</t>
    </r>
    <r>
      <rPr>
        <vertAlign val="subscript"/>
        <sz val="10"/>
        <color theme="1"/>
        <rFont val="Arial"/>
        <family val="2"/>
      </rPr>
      <t>UGTmin</t>
    </r>
    <r>
      <rPr>
        <sz val="10"/>
        <color theme="1"/>
        <rFont val="Arial"/>
        <family val="2"/>
      </rPr>
      <t>);ABS(W</t>
    </r>
    <r>
      <rPr>
        <vertAlign val="subscript"/>
        <sz val="10"/>
        <color theme="1"/>
        <rFont val="Arial"/>
        <family val="2"/>
      </rPr>
      <t>UGTmax</t>
    </r>
    <r>
      <rPr>
        <sz val="10"/>
        <color theme="1"/>
        <rFont val="Arial"/>
        <family val="2"/>
      </rPr>
      <t>))/(2*A</t>
    </r>
    <r>
      <rPr>
        <vertAlign val="subscript"/>
        <sz val="10"/>
        <color theme="1"/>
        <rFont val="Arial"/>
        <family val="2"/>
      </rPr>
      <t>flens</t>
    </r>
    <r>
      <rPr>
        <sz val="10"/>
        <color theme="1"/>
        <rFont val="Arial"/>
        <family val="2"/>
      </rPr>
      <t>))</t>
    </r>
  </si>
  <si>
    <r>
      <t>Q = -M</t>
    </r>
    <r>
      <rPr>
        <vertAlign val="subscript"/>
        <sz val="10"/>
        <color theme="1"/>
        <rFont val="Arial"/>
        <family val="2"/>
      </rPr>
      <t>1wand</t>
    </r>
    <r>
      <rPr>
        <sz val="10"/>
        <color theme="1"/>
        <rFont val="Arial"/>
        <family val="2"/>
      </rPr>
      <t>/b</t>
    </r>
    <r>
      <rPr>
        <vertAlign val="subscript"/>
        <sz val="10"/>
        <color theme="1"/>
        <rFont val="Arial"/>
        <family val="2"/>
      </rPr>
      <t>1</t>
    </r>
  </si>
  <si>
    <r>
      <t>R</t>
    </r>
    <r>
      <rPr>
        <vertAlign val="subscript"/>
        <sz val="10"/>
        <color theme="1"/>
        <rFont val="Arial"/>
        <family val="2"/>
      </rPr>
      <t>ah</t>
    </r>
    <r>
      <rPr>
        <sz val="10"/>
        <color theme="1"/>
        <rFont val="Arial"/>
        <family val="2"/>
      </rPr>
      <t xml:space="preserve"> = ( -Q - W</t>
    </r>
    <r>
      <rPr>
        <vertAlign val="subscript"/>
        <sz val="10"/>
        <color theme="1"/>
        <rFont val="Arial"/>
        <family val="2"/>
      </rPr>
      <t>UTGmin</t>
    </r>
    <r>
      <rPr>
        <sz val="10"/>
        <color theme="1"/>
        <rFont val="Arial"/>
        <family val="2"/>
      </rPr>
      <t>/2 +G*</t>
    </r>
    <r>
      <rPr>
        <sz val="14"/>
        <color theme="1"/>
        <rFont val="Times New Roman"/>
        <family val="1"/>
      </rPr>
      <t>γ</t>
    </r>
    <r>
      <rPr>
        <vertAlign val="subscript"/>
        <sz val="14"/>
        <color theme="1"/>
        <rFont val="Times New Roman"/>
        <family val="1"/>
      </rPr>
      <t>g*</t>
    </r>
    <r>
      <rPr>
        <sz val="10"/>
        <color theme="1"/>
        <rFont val="Arial"/>
        <family val="2"/>
      </rPr>
      <t>(L</t>
    </r>
    <r>
      <rPr>
        <vertAlign val="subscript"/>
        <sz val="10"/>
        <color theme="1"/>
        <rFont val="Arial"/>
        <family val="2"/>
      </rPr>
      <t>flens</t>
    </r>
    <r>
      <rPr>
        <sz val="10"/>
        <color theme="1"/>
        <rFont val="Arial"/>
        <family val="2"/>
      </rPr>
      <t>+t</t>
    </r>
    <r>
      <rPr>
        <vertAlign val="subscript"/>
        <sz val="10"/>
        <color theme="1"/>
        <rFont val="Arial"/>
        <family val="2"/>
      </rPr>
      <t>wandmidden</t>
    </r>
    <r>
      <rPr>
        <sz val="10"/>
        <color theme="1"/>
        <rFont val="Arial"/>
        <family val="2"/>
      </rPr>
      <t>)/(2*(2/3*a</t>
    </r>
    <r>
      <rPr>
        <vertAlign val="subscript"/>
        <sz val="10"/>
        <color theme="1"/>
        <rFont val="Arial"/>
        <family val="2"/>
      </rPr>
      <t>2b</t>
    </r>
    <r>
      <rPr>
        <sz val="10"/>
        <color theme="1"/>
        <rFont val="Arial"/>
        <family val="2"/>
      </rPr>
      <t>)))</t>
    </r>
  </si>
  <si>
    <r>
      <t>d</t>
    </r>
    <r>
      <rPr>
        <vertAlign val="subscript"/>
        <sz val="10"/>
        <color theme="1"/>
        <rFont val="Arial"/>
        <family val="2"/>
      </rPr>
      <t>wand</t>
    </r>
  </si>
  <si>
    <t>diameter van de ankerbout</t>
  </si>
  <si>
    <r>
      <t>L</t>
    </r>
    <r>
      <rPr>
        <vertAlign val="subscript"/>
        <sz val="10"/>
        <color theme="1"/>
        <rFont val="Arial"/>
        <family val="2"/>
      </rPr>
      <t>swandmax</t>
    </r>
  </si>
  <si>
    <r>
      <t>L</t>
    </r>
    <r>
      <rPr>
        <vertAlign val="subscript"/>
        <sz val="10"/>
        <color theme="1"/>
        <rFont val="Arial"/>
        <family val="2"/>
      </rPr>
      <t>sflensmax</t>
    </r>
  </si>
  <si>
    <r>
      <t>L</t>
    </r>
    <r>
      <rPr>
        <vertAlign val="subscript"/>
        <sz val="10"/>
        <color theme="1"/>
        <rFont val="Arial"/>
        <family val="2"/>
      </rPr>
      <t>sflens</t>
    </r>
  </si>
  <si>
    <t>maximum lengte sleufgat van de wand</t>
  </si>
  <si>
    <t>maximum lengte sleufgat van de flens</t>
  </si>
  <si>
    <t>lengte sleufgat van de flens</t>
  </si>
  <si>
    <t>lengte sleufgat van de wand</t>
  </si>
  <si>
    <r>
      <t>L</t>
    </r>
    <r>
      <rPr>
        <vertAlign val="subscript"/>
        <sz val="10"/>
        <color theme="1"/>
        <rFont val="Arial"/>
        <family val="2"/>
      </rPr>
      <t>swand</t>
    </r>
  </si>
  <si>
    <t>minimale randafstand horizontaal</t>
  </si>
  <si>
    <r>
      <t>b</t>
    </r>
    <r>
      <rPr>
        <vertAlign val="subscript"/>
        <sz val="10"/>
        <color theme="1"/>
        <rFont val="Arial"/>
        <family val="2"/>
      </rPr>
      <t>1min</t>
    </r>
  </si>
  <si>
    <t>rekenhoogte achterwans</t>
  </si>
  <si>
    <r>
      <t>h</t>
    </r>
    <r>
      <rPr>
        <vertAlign val="subscript"/>
        <sz val="10"/>
        <color theme="1"/>
        <rFont val="Arial"/>
        <family val="2"/>
      </rPr>
      <t>wand</t>
    </r>
  </si>
  <si>
    <r>
      <t>h</t>
    </r>
    <r>
      <rPr>
        <vertAlign val="subscript"/>
        <sz val="10"/>
        <color theme="1"/>
        <rFont val="Arial"/>
        <family val="2"/>
      </rPr>
      <t>wand</t>
    </r>
    <r>
      <rPr>
        <sz val="10"/>
        <color theme="1"/>
        <rFont val="Arial"/>
        <family val="2"/>
      </rPr>
      <t xml:space="preserve"> = a</t>
    </r>
    <r>
      <rPr>
        <vertAlign val="subscript"/>
        <sz val="10"/>
        <color theme="1"/>
        <rFont val="Arial"/>
        <family val="2"/>
      </rPr>
      <t>2a</t>
    </r>
    <r>
      <rPr>
        <sz val="10"/>
        <color theme="1"/>
        <rFont val="Arial"/>
        <family val="2"/>
      </rPr>
      <t>+a</t>
    </r>
    <r>
      <rPr>
        <vertAlign val="subscript"/>
        <sz val="10"/>
        <color theme="1"/>
        <rFont val="Arial"/>
        <family val="2"/>
      </rPr>
      <t>2b</t>
    </r>
    <r>
      <rPr>
        <sz val="10"/>
        <color theme="1"/>
        <rFont val="Arial"/>
        <family val="2"/>
      </rPr>
      <t>-D</t>
    </r>
    <r>
      <rPr>
        <vertAlign val="subscript"/>
        <sz val="10"/>
        <color theme="1"/>
        <rFont val="Arial"/>
        <family val="2"/>
      </rPr>
      <t>0wand</t>
    </r>
  </si>
  <si>
    <r>
      <t>M</t>
    </r>
    <r>
      <rPr>
        <vertAlign val="subscript"/>
        <sz val="10"/>
        <color theme="1"/>
        <rFont val="Arial"/>
        <family val="2"/>
      </rPr>
      <t>wring</t>
    </r>
    <r>
      <rPr>
        <sz val="10"/>
        <color theme="1"/>
        <rFont val="Arial"/>
        <family val="2"/>
      </rPr>
      <t xml:space="preserve"> =  (-W</t>
    </r>
    <r>
      <rPr>
        <vertAlign val="subscript"/>
        <sz val="10"/>
        <color theme="1"/>
        <rFont val="Arial"/>
        <family val="2"/>
      </rPr>
      <t>UTG</t>
    </r>
    <r>
      <rPr>
        <sz val="10"/>
        <color theme="1"/>
        <rFont val="Arial"/>
        <family val="2"/>
      </rPr>
      <t>*((e</t>
    </r>
    <r>
      <rPr>
        <vertAlign val="subscript"/>
        <sz val="10"/>
        <color theme="1"/>
        <rFont val="Arial"/>
        <family val="2"/>
      </rPr>
      <t>2b</t>
    </r>
    <r>
      <rPr>
        <sz val="10"/>
        <color theme="1"/>
        <rFont val="Arial"/>
        <family val="2"/>
      </rPr>
      <t>+e</t>
    </r>
    <r>
      <rPr>
        <vertAlign val="subscript"/>
        <sz val="10"/>
        <color theme="1"/>
        <rFont val="Arial"/>
        <family val="2"/>
      </rPr>
      <t>2a</t>
    </r>
    <r>
      <rPr>
        <sz val="10"/>
        <color theme="1"/>
        <rFont val="Arial"/>
        <family val="2"/>
      </rPr>
      <t>)/2-+G*</t>
    </r>
    <r>
      <rPr>
        <sz val="14"/>
        <color theme="1"/>
        <rFont val="Times New Roman"/>
        <family val="1"/>
      </rPr>
      <t>γ</t>
    </r>
    <r>
      <rPr>
        <vertAlign val="subscript"/>
        <sz val="14"/>
        <color theme="1"/>
        <rFont val="Times New Roman"/>
        <family val="1"/>
      </rPr>
      <t>g*</t>
    </r>
    <r>
      <rPr>
        <sz val="10"/>
        <color theme="1"/>
        <rFont val="Arial"/>
        <family val="2"/>
      </rPr>
      <t>(L</t>
    </r>
    <r>
      <rPr>
        <vertAlign val="subscript"/>
        <sz val="10"/>
        <color theme="1"/>
        <rFont val="Arial"/>
        <family val="2"/>
      </rPr>
      <t>flens</t>
    </r>
    <r>
      <rPr>
        <sz val="10"/>
        <color theme="1"/>
        <rFont val="Arial"/>
        <family val="2"/>
      </rPr>
      <t>+t</t>
    </r>
    <r>
      <rPr>
        <vertAlign val="subscript"/>
        <sz val="10"/>
        <color theme="1"/>
        <rFont val="Arial"/>
        <family val="2"/>
      </rPr>
      <t>wandmidden</t>
    </r>
    <r>
      <rPr>
        <sz val="10"/>
        <color theme="1"/>
        <rFont val="Arial"/>
        <family val="2"/>
      </rPr>
      <t>))/(2*1000)</t>
    </r>
  </si>
  <si>
    <r>
      <rPr>
        <b/>
        <sz val="11"/>
        <color theme="1"/>
        <rFont val="GreekC"/>
      </rPr>
      <t>t</t>
    </r>
    <r>
      <rPr>
        <sz val="10"/>
        <color theme="1"/>
        <rFont val="Arial"/>
        <family val="2"/>
      </rPr>
      <t>(w)=M</t>
    </r>
    <r>
      <rPr>
        <vertAlign val="subscript"/>
        <sz val="10"/>
        <color theme="1"/>
        <rFont val="Arial"/>
        <family val="2"/>
      </rPr>
      <t>wring</t>
    </r>
    <r>
      <rPr>
        <sz val="10"/>
        <color theme="1"/>
        <rFont val="Arial"/>
        <family val="2"/>
      </rPr>
      <t>/W</t>
    </r>
    <r>
      <rPr>
        <vertAlign val="subscript"/>
        <sz val="10"/>
        <color theme="1"/>
        <rFont val="Arial"/>
        <family val="2"/>
      </rPr>
      <t>wing</t>
    </r>
  </si>
  <si>
    <r>
      <t>W</t>
    </r>
    <r>
      <rPr>
        <vertAlign val="subscript"/>
        <sz val="10"/>
        <color theme="1"/>
        <rFont val="Arial"/>
        <family val="2"/>
      </rPr>
      <t>wring</t>
    </r>
    <r>
      <rPr>
        <sz val="10"/>
        <color theme="1"/>
        <rFont val="Arial"/>
        <family val="2"/>
      </rPr>
      <t xml:space="preserve"> = (h</t>
    </r>
    <r>
      <rPr>
        <vertAlign val="subscript"/>
        <sz val="10"/>
        <color theme="1"/>
        <rFont val="Arial"/>
        <family val="2"/>
      </rPr>
      <t>wand</t>
    </r>
    <r>
      <rPr>
        <sz val="10"/>
        <color theme="1"/>
        <rFont val="Arial"/>
        <family val="2"/>
      </rPr>
      <t>*t</t>
    </r>
    <r>
      <rPr>
        <vertAlign val="subscript"/>
        <sz val="10"/>
        <color theme="1"/>
        <rFont val="Arial"/>
        <family val="2"/>
      </rPr>
      <t>wandrand</t>
    </r>
    <r>
      <rPr>
        <vertAlign val="superscript"/>
        <sz val="10"/>
        <color theme="1"/>
        <rFont val="Arial"/>
        <family val="2"/>
      </rPr>
      <t>3</t>
    </r>
    <r>
      <rPr>
        <sz val="10"/>
        <color theme="1"/>
        <rFont val="Arial"/>
        <family val="2"/>
      </rPr>
      <t>/3) *(1-0,63*t</t>
    </r>
    <r>
      <rPr>
        <vertAlign val="subscript"/>
        <sz val="10"/>
        <color theme="1"/>
        <rFont val="Arial"/>
        <family val="2"/>
      </rPr>
      <t>wandrand</t>
    </r>
    <r>
      <rPr>
        <sz val="10"/>
        <color theme="1"/>
        <rFont val="Arial"/>
        <family val="2"/>
      </rPr>
      <t>/h</t>
    </r>
    <r>
      <rPr>
        <vertAlign val="subscript"/>
        <sz val="10"/>
        <color theme="1"/>
        <rFont val="Arial"/>
        <family val="2"/>
      </rPr>
      <t>wand</t>
    </r>
    <r>
      <rPr>
        <sz val="10"/>
        <color theme="1"/>
        <rFont val="Arial"/>
        <family val="2"/>
      </rPr>
      <t>+0,052*t</t>
    </r>
    <r>
      <rPr>
        <vertAlign val="subscript"/>
        <sz val="10"/>
        <color theme="1"/>
        <rFont val="Arial"/>
        <family val="2"/>
      </rPr>
      <t>wandrand</t>
    </r>
    <r>
      <rPr>
        <vertAlign val="superscript"/>
        <sz val="10"/>
        <color theme="1"/>
        <rFont val="Arial"/>
        <family val="2"/>
      </rPr>
      <t>5</t>
    </r>
    <r>
      <rPr>
        <sz val="10"/>
        <color theme="1"/>
        <rFont val="Arial"/>
        <family val="2"/>
      </rPr>
      <t>/h</t>
    </r>
    <r>
      <rPr>
        <vertAlign val="subscript"/>
        <sz val="10"/>
        <color theme="1"/>
        <rFont val="Arial"/>
        <family val="2"/>
      </rPr>
      <t>wand</t>
    </r>
    <r>
      <rPr>
        <vertAlign val="superscript"/>
        <sz val="10"/>
        <color theme="1"/>
        <rFont val="Arial"/>
        <family val="2"/>
      </rPr>
      <t>5</t>
    </r>
    <r>
      <rPr>
        <sz val="10"/>
        <color theme="1"/>
        <rFont val="Arial"/>
        <family val="2"/>
      </rPr>
      <t>)/t</t>
    </r>
    <r>
      <rPr>
        <vertAlign val="subscript"/>
        <sz val="10"/>
        <color theme="1"/>
        <rFont val="Arial"/>
        <family val="2"/>
      </rPr>
      <t>wandrand</t>
    </r>
  </si>
  <si>
    <r>
      <t>T</t>
    </r>
    <r>
      <rPr>
        <vertAlign val="subscript"/>
        <sz val="10"/>
        <color theme="1"/>
        <rFont val="Arial"/>
        <family val="2"/>
      </rPr>
      <t>Ed</t>
    </r>
  </si>
  <si>
    <r>
      <rPr>
        <sz val="11"/>
        <color theme="1"/>
        <rFont val="Arial"/>
        <family val="2"/>
      </rPr>
      <t>σ</t>
    </r>
    <r>
      <rPr>
        <vertAlign val="subscript"/>
        <sz val="10"/>
        <color theme="1"/>
        <rFont val="Arial"/>
        <family val="2"/>
      </rPr>
      <t>Ed</t>
    </r>
  </si>
  <si>
    <r>
      <t>IF (</t>
    </r>
    <r>
      <rPr>
        <sz val="12"/>
        <color theme="1"/>
        <rFont val="Arial"/>
        <family val="2"/>
      </rPr>
      <t>σ</t>
    </r>
    <r>
      <rPr>
        <vertAlign val="subscript"/>
        <sz val="10"/>
        <color theme="1"/>
        <rFont val="Arial"/>
        <family val="2"/>
      </rPr>
      <t xml:space="preserve">Ed </t>
    </r>
    <r>
      <rPr>
        <sz val="10"/>
        <color theme="1"/>
        <rFont val="Arial"/>
        <family val="2"/>
      </rPr>
      <t>&lt;</t>
    </r>
    <r>
      <rPr>
        <sz val="11"/>
        <color theme="1"/>
        <rFont val="Arial"/>
        <family val="2"/>
      </rPr>
      <t xml:space="preserve"> </t>
    </r>
    <r>
      <rPr>
        <sz val="11"/>
        <color theme="1"/>
        <rFont val="Times New Roman"/>
        <family val="1"/>
      </rPr>
      <t>χ</t>
    </r>
    <r>
      <rPr>
        <vertAlign val="subscript"/>
        <sz val="10"/>
        <color theme="1"/>
        <rFont val="Arial"/>
        <family val="2"/>
      </rPr>
      <t>d</t>
    </r>
    <r>
      <rPr>
        <sz val="10"/>
        <color theme="1"/>
        <rFont val="Arial"/>
        <family val="2"/>
      </rPr>
      <t xml:space="preserve"> ) -&gt; OK</t>
    </r>
  </si>
  <si>
    <r>
      <t>IF (abs(</t>
    </r>
    <r>
      <rPr>
        <sz val="12"/>
        <color theme="1"/>
        <rFont val="Arial"/>
        <family val="2"/>
      </rPr>
      <t>σ</t>
    </r>
    <r>
      <rPr>
        <vertAlign val="subscript"/>
        <sz val="10"/>
        <color theme="1"/>
        <rFont val="Arial"/>
        <family val="2"/>
      </rPr>
      <t xml:space="preserve">Ed) </t>
    </r>
    <r>
      <rPr>
        <sz val="10"/>
        <color theme="1"/>
        <rFont val="Arial"/>
        <family val="2"/>
      </rPr>
      <t>&lt;</t>
    </r>
    <r>
      <rPr>
        <sz val="11"/>
        <color theme="1"/>
        <rFont val="Arial"/>
        <family val="2"/>
      </rPr>
      <t xml:space="preserve"> </t>
    </r>
    <r>
      <rPr>
        <sz val="11"/>
        <color theme="1"/>
        <rFont val="Times New Roman"/>
        <family val="1"/>
      </rPr>
      <t>χ</t>
    </r>
    <r>
      <rPr>
        <vertAlign val="subscript"/>
        <sz val="10"/>
        <color theme="1"/>
        <rFont val="Arial"/>
        <family val="2"/>
      </rPr>
      <t>d</t>
    </r>
    <r>
      <rPr>
        <sz val="10"/>
        <color theme="1"/>
        <rFont val="Arial"/>
        <family val="2"/>
      </rPr>
      <t xml:space="preserve"> ) -&gt; OK</t>
    </r>
  </si>
  <si>
    <t>toelaatbare schuifspanning</t>
  </si>
  <si>
    <r>
      <rPr>
        <b/>
        <sz val="11"/>
        <color theme="1"/>
        <rFont val="GreekC"/>
      </rPr>
      <t>t</t>
    </r>
    <r>
      <rPr>
        <vertAlign val="subscript"/>
        <sz val="10"/>
        <color theme="1"/>
        <rFont val="Arial"/>
        <family val="2"/>
      </rPr>
      <t>Ed</t>
    </r>
  </si>
  <si>
    <r>
      <rPr>
        <b/>
        <sz val="11"/>
        <color theme="1"/>
        <rFont val="GreekC"/>
      </rPr>
      <t>t</t>
    </r>
    <r>
      <rPr>
        <vertAlign val="subscript"/>
        <sz val="10"/>
        <color theme="1"/>
        <rFont val="Arial"/>
        <family val="2"/>
      </rPr>
      <t>Rd</t>
    </r>
    <r>
      <rPr>
        <sz val="10"/>
        <color theme="1"/>
        <rFont val="Arial"/>
        <family val="2"/>
      </rPr>
      <t xml:space="preserve"> =</t>
    </r>
    <r>
      <rPr>
        <vertAlign val="subscript"/>
        <sz val="10"/>
        <color theme="1"/>
        <rFont val="Arial"/>
        <family val="2"/>
      </rPr>
      <t xml:space="preserve"> </t>
    </r>
    <r>
      <rPr>
        <sz val="14"/>
        <color theme="1"/>
        <rFont val="Times New Roman"/>
        <family val="1"/>
      </rPr>
      <t>χ</t>
    </r>
    <r>
      <rPr>
        <vertAlign val="subscript"/>
        <sz val="10"/>
        <color theme="1"/>
        <rFont val="Arial"/>
        <family val="2"/>
      </rPr>
      <t>d</t>
    </r>
    <r>
      <rPr>
        <sz val="10"/>
        <color theme="1"/>
        <rFont val="Arial"/>
        <family val="2"/>
      </rPr>
      <t xml:space="preserve"> / 3</t>
    </r>
    <r>
      <rPr>
        <vertAlign val="superscript"/>
        <sz val="10"/>
        <color theme="1"/>
        <rFont val="Arial"/>
        <family val="2"/>
      </rPr>
      <t>1/2</t>
    </r>
  </si>
  <si>
    <r>
      <rPr>
        <b/>
        <sz val="11"/>
        <color theme="1"/>
        <rFont val="GreekC"/>
      </rPr>
      <t>t</t>
    </r>
    <r>
      <rPr>
        <vertAlign val="subscript"/>
        <sz val="10"/>
        <color theme="1"/>
        <rFont val="Arial"/>
        <family val="2"/>
      </rPr>
      <t>Rd</t>
    </r>
  </si>
  <si>
    <r>
      <t>IF (</t>
    </r>
    <r>
      <rPr>
        <b/>
        <sz val="11"/>
        <color theme="1"/>
        <rFont val="GreekC"/>
      </rPr>
      <t>t</t>
    </r>
    <r>
      <rPr>
        <vertAlign val="subscript"/>
        <sz val="10"/>
        <color theme="1"/>
        <rFont val="Arial"/>
        <family val="2"/>
      </rPr>
      <t xml:space="preserve">Ed </t>
    </r>
    <r>
      <rPr>
        <sz val="10"/>
        <color theme="1"/>
        <rFont val="Arial"/>
        <family val="2"/>
      </rPr>
      <t xml:space="preserve">&lt; </t>
    </r>
    <r>
      <rPr>
        <b/>
        <sz val="11"/>
        <color theme="1"/>
        <rFont val="GreekC"/>
      </rPr>
      <t>t</t>
    </r>
    <r>
      <rPr>
        <vertAlign val="subscript"/>
        <sz val="10"/>
        <color theme="1"/>
        <rFont val="Arial"/>
        <family val="2"/>
      </rPr>
      <t>Rd</t>
    </r>
    <r>
      <rPr>
        <sz val="10"/>
        <color theme="1"/>
        <rFont val="Arial"/>
        <family val="2"/>
      </rPr>
      <t xml:space="preserve"> ) -&gt; OK</t>
    </r>
  </si>
  <si>
    <t>Anker</t>
  </si>
  <si>
    <t>boor diameter voor de bout of huls</t>
  </si>
  <si>
    <t>Neen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</si>
</sst>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 _€_-;\-* #,##0.00\ _€_-;_-* &quot;-&quot;??\ _€_-;_-@_-"/>
    <numFmt numFmtId="165" formatCode="d\ mmmm\ yyyy"/>
    <numFmt numFmtId="166" formatCode="d/mm/yyyy;@"/>
    <numFmt numFmtId="167" formatCode="#,##0.0"/>
    <numFmt numFmtId="168" formatCode="0.0000"/>
    <numFmt numFmtId="169" formatCode="0\ \m\/\s"/>
    <numFmt numFmtId="170" formatCode="0.000"/>
    <numFmt numFmtId="171" formatCode="0.0"/>
    <numFmt numFmtId="172" formatCode="0.000000"/>
    <numFmt numFmtId="173" formatCode="&quot;$&quot;#,##0\ ;\(&quot;$&quot;#,##0\)"/>
    <numFmt numFmtId="174" formatCode="&quot;kN &quot;0\ &quot; per bout&quot;"/>
    <numFmt numFmtId="175" formatCode="0.00&quot; kN&quot;"/>
  </numFmts>
  <fonts count="39" x14ac:knownFonts="1">
    <font>
      <sz val="11"/>
      <color theme="1"/>
      <name val="Arial"/>
      <family val="2"/>
    </font>
    <font>
      <sz val="12"/>
      <color theme="1"/>
      <name val="Arial"/>
      <family val="2"/>
    </font>
    <font>
      <b/>
      <sz val="11"/>
      <color theme="1"/>
      <name val="Arial"/>
      <family val="2"/>
    </font>
    <font>
      <b/>
      <sz val="10"/>
      <color theme="1"/>
      <name val="Arial"/>
      <family val="2"/>
    </font>
    <font>
      <b/>
      <vertAlign val="subscript"/>
      <sz val="10"/>
      <color theme="1"/>
      <name val="Arial"/>
      <family val="2"/>
    </font>
    <font>
      <sz val="10"/>
      <color theme="1"/>
      <name val="Arial"/>
      <family val="2"/>
    </font>
    <font>
      <sz val="10"/>
      <name val="Arial"/>
      <family val="2"/>
    </font>
    <font>
      <b/>
      <sz val="11"/>
      <name val="Arial"/>
      <family val="2"/>
    </font>
    <font>
      <sz val="11"/>
      <color theme="1"/>
      <name val="Times New Roman"/>
      <family val="1"/>
    </font>
    <font>
      <vertAlign val="subscript"/>
      <sz val="11"/>
      <color theme="1"/>
      <name val="Arial"/>
      <family val="2"/>
    </font>
    <font>
      <sz val="11"/>
      <name val="Arial"/>
      <family val="2"/>
    </font>
    <font>
      <sz val="10"/>
      <color rgb="FF000000"/>
      <name val="Arial Unicode MS"/>
      <family val="2"/>
    </font>
    <font>
      <b/>
      <sz val="11"/>
      <color rgb="FFFF0000"/>
      <name val="Arial"/>
      <family val="2"/>
    </font>
    <font>
      <sz val="9"/>
      <color theme="1"/>
      <name val="Arial"/>
      <family val="2"/>
    </font>
    <font>
      <sz val="8"/>
      <color indexed="81"/>
      <name val="Tahoma"/>
      <family val="2"/>
    </font>
    <font>
      <vertAlign val="subscript"/>
      <sz val="10"/>
      <color theme="1"/>
      <name val="Arial"/>
      <family val="2"/>
    </font>
    <font>
      <sz val="14"/>
      <color theme="1"/>
      <name val="Times New Roman"/>
      <family val="1"/>
    </font>
    <font>
      <sz val="10"/>
      <name val="MS Sans Serif"/>
      <family val="2"/>
    </font>
    <font>
      <b/>
      <sz val="10"/>
      <name val="Arial"/>
      <family val="2"/>
    </font>
    <font>
      <vertAlign val="subscript"/>
      <sz val="10"/>
      <name val="Arial"/>
      <family val="2"/>
    </font>
    <font>
      <sz val="10"/>
      <color theme="1"/>
      <name val="Times New Roman"/>
      <family val="1"/>
    </font>
    <font>
      <vertAlign val="superscript"/>
      <sz val="10"/>
      <color theme="1"/>
      <name val="Arial"/>
      <family val="2"/>
    </font>
    <font>
      <vertAlign val="superscript"/>
      <sz val="10"/>
      <name val="Arial"/>
      <family val="2"/>
    </font>
    <font>
      <u/>
      <sz val="10"/>
      <name val="Arial"/>
      <family val="2"/>
    </font>
    <font>
      <sz val="10"/>
      <color rgb="FFFF0000"/>
      <name val="Arial"/>
      <family val="2"/>
    </font>
    <font>
      <sz val="10"/>
      <name val="Arial"/>
      <family val="2"/>
    </font>
    <font>
      <sz val="8"/>
      <name val="Arial"/>
      <family val="2"/>
    </font>
    <font>
      <sz val="10"/>
      <color indexed="24"/>
      <name val="Arial"/>
      <family val="2"/>
    </font>
    <font>
      <sz val="10"/>
      <color indexed="60"/>
      <name val="Arial"/>
      <family val="2"/>
    </font>
    <font>
      <sz val="15"/>
      <color rgb="FFFF0000"/>
      <name val="Arial"/>
      <family val="2"/>
    </font>
    <font>
      <sz val="11"/>
      <color theme="1"/>
      <name val="Calibri"/>
      <family val="2"/>
      <scheme val="minor"/>
    </font>
    <font>
      <b/>
      <sz val="10"/>
      <color rgb="FFFF0000"/>
      <name val="Arial"/>
      <family val="2"/>
    </font>
    <font>
      <sz val="11"/>
      <color rgb="FF1F497D"/>
      <name val="Calibri"/>
      <family val="2"/>
    </font>
    <font>
      <sz val="11"/>
      <color theme="1"/>
      <name val="Calibri"/>
      <family val="2"/>
    </font>
    <font>
      <sz val="11"/>
      <color theme="1"/>
      <name val="Arial"/>
      <family val="2"/>
    </font>
    <font>
      <sz val="9"/>
      <color indexed="81"/>
      <name val="Tahoma"/>
      <family val="2"/>
    </font>
    <font>
      <sz val="10"/>
      <color rgb="FF000080"/>
      <name val="Arial"/>
      <family val="2"/>
    </font>
    <font>
      <vertAlign val="subscript"/>
      <sz val="14"/>
      <color theme="1"/>
      <name val="Times New Roman"/>
      <family val="1"/>
    </font>
    <font>
      <b/>
      <sz val="11"/>
      <color theme="1"/>
      <name val="GreekC"/>
    </font>
  </fonts>
  <fills count="8">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92D050"/>
        <bgColor indexed="64"/>
      </patternFill>
    </fill>
    <fill>
      <patternFill patternType="solid">
        <fgColor indexed="15"/>
        <bgColor indexed="64"/>
      </patternFill>
    </fill>
    <fill>
      <patternFill patternType="solid">
        <fgColor indexed="13"/>
        <bgColor indexed="64"/>
      </patternFill>
    </fill>
    <fill>
      <patternFill patternType="solid">
        <fgColor theme="0" tint="-4.9989318521683403E-2"/>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s>
  <cellStyleXfs count="9">
    <xf numFmtId="0" fontId="0" fillId="0" borderId="0"/>
    <xf numFmtId="0" fontId="17" fillId="0" borderId="0"/>
    <xf numFmtId="0" fontId="25" fillId="0" borderId="0"/>
    <xf numFmtId="3" fontId="27" fillId="0" borderId="0" applyFont="0" applyFill="0" applyBorder="0" applyAlignment="0" applyProtection="0"/>
    <xf numFmtId="173" fontId="27" fillId="0" borderId="0" applyFont="0" applyFill="0" applyBorder="0" applyAlignment="0" applyProtection="0"/>
    <xf numFmtId="0" fontId="27" fillId="0" borderId="0" applyFont="0" applyFill="0" applyBorder="0" applyAlignment="0" applyProtection="0"/>
    <xf numFmtId="2" fontId="27" fillId="0" borderId="0" applyFont="0" applyFill="0" applyBorder="0" applyAlignment="0" applyProtection="0"/>
    <xf numFmtId="164" fontId="6" fillId="0" borderId="0" applyFont="0" applyFill="0" applyBorder="0" applyAlignment="0" applyProtection="0"/>
    <xf numFmtId="9" fontId="34" fillId="0" borderId="0" applyFont="0" applyFill="0" applyBorder="0" applyAlignment="0" applyProtection="0"/>
  </cellStyleXfs>
  <cellXfs count="371">
    <xf numFmtId="0" fontId="0" fillId="0" borderId="0" xfId="0"/>
    <xf numFmtId="0" fontId="0" fillId="0" borderId="0" xfId="0" applyFont="1"/>
    <xf numFmtId="0" fontId="5" fillId="0" borderId="0" xfId="0" applyFont="1" applyBorder="1" applyAlignment="1" applyProtection="1">
      <alignment horizontal="right"/>
    </xf>
    <xf numFmtId="0" fontId="0" fillId="0" borderId="0" xfId="0" applyProtection="1">
      <protection hidden="1"/>
    </xf>
    <xf numFmtId="0" fontId="7" fillId="0" borderId="0" xfId="0" applyFont="1" applyBorder="1" applyProtection="1">
      <protection hidden="1"/>
    </xf>
    <xf numFmtId="0" fontId="0" fillId="0" borderId="0" xfId="0" applyFont="1" applyProtection="1">
      <protection hidden="1"/>
    </xf>
    <xf numFmtId="0" fontId="0" fillId="0" borderId="0" xfId="0" applyFill="1" applyProtection="1">
      <protection hidden="1"/>
    </xf>
    <xf numFmtId="0" fontId="0" fillId="0" borderId="0" xfId="0" applyAlignment="1" applyProtection="1">
      <alignment horizontal="center"/>
      <protection hidden="1"/>
    </xf>
    <xf numFmtId="0" fontId="0" fillId="0" borderId="0" xfId="0" applyFont="1" applyFill="1" applyAlignment="1" applyProtection="1">
      <protection hidden="1"/>
    </xf>
    <xf numFmtId="0" fontId="13" fillId="0" borderId="0" xfId="0" applyFont="1" applyProtection="1">
      <protection hidden="1"/>
    </xf>
    <xf numFmtId="0" fontId="0" fillId="0" borderId="0" xfId="0" applyAlignment="1" applyProtection="1">
      <alignment horizontal="right"/>
      <protection hidden="1"/>
    </xf>
    <xf numFmtId="4" fontId="10" fillId="0" borderId="0" xfId="0" applyNumberFormat="1" applyFont="1" applyFill="1" applyBorder="1" applyAlignment="1" applyProtection="1">
      <alignment horizontal="center"/>
      <protection hidden="1"/>
    </xf>
    <xf numFmtId="0" fontId="0" fillId="0" borderId="0" xfId="0" applyFont="1" applyFill="1" applyProtection="1">
      <protection hidden="1"/>
    </xf>
    <xf numFmtId="0" fontId="2" fillId="0" borderId="0" xfId="0" applyFont="1" applyAlignment="1" applyProtection="1">
      <protection hidden="1"/>
    </xf>
    <xf numFmtId="0" fontId="0" fillId="0" borderId="0" xfId="0" applyFill="1" applyAlignment="1" applyProtection="1">
      <alignment horizontal="right"/>
      <protection hidden="1"/>
    </xf>
    <xf numFmtId="0" fontId="0" fillId="0" borderId="0" xfId="0" applyAlignment="1" applyProtection="1">
      <alignment horizontal="center" vertical="center"/>
      <protection hidden="1"/>
    </xf>
    <xf numFmtId="0" fontId="0" fillId="0" borderId="0" xfId="0" applyAlignment="1" applyProtection="1">
      <alignment vertical="top" wrapText="1"/>
      <protection hidden="1"/>
    </xf>
    <xf numFmtId="4" fontId="0" fillId="0" borderId="0" xfId="0" applyNumberFormat="1" applyAlignment="1" applyProtection="1">
      <alignment horizontal="center"/>
      <protection hidden="1"/>
    </xf>
    <xf numFmtId="0" fontId="0" fillId="0" borderId="0" xfId="0" applyFont="1" applyAlignment="1" applyProtection="1">
      <protection hidden="1"/>
    </xf>
    <xf numFmtId="0" fontId="12" fillId="0" borderId="0" xfId="0" applyFont="1" applyProtection="1">
      <protection hidden="1"/>
    </xf>
    <xf numFmtId="0" fontId="12" fillId="0" borderId="0" xfId="0" applyFont="1" applyAlignment="1" applyProtection="1">
      <alignment vertical="center"/>
      <protection hidden="1"/>
    </xf>
    <xf numFmtId="0" fontId="2" fillId="0" borderId="0" xfId="0" applyFont="1" applyFill="1" applyProtection="1">
      <protection hidden="1"/>
    </xf>
    <xf numFmtId="0" fontId="0" fillId="0" borderId="0" xfId="0" applyFont="1" applyBorder="1" applyAlignment="1" applyProtection="1">
      <alignment vertical="center"/>
      <protection hidden="1"/>
    </xf>
    <xf numFmtId="0" fontId="0" fillId="0" borderId="0" xfId="0" applyBorder="1" applyAlignment="1" applyProtection="1">
      <alignment horizontal="center" vertical="center"/>
      <protection hidden="1"/>
    </xf>
    <xf numFmtId="0" fontId="0" fillId="0" borderId="0" xfId="0" applyAlignment="1" applyProtection="1">
      <alignment horizontal="center" vertical="center" wrapText="1"/>
      <protection hidden="1"/>
    </xf>
    <xf numFmtId="0" fontId="11" fillId="0" borderId="0" xfId="0" applyFont="1" applyProtection="1">
      <protection hidden="1"/>
    </xf>
    <xf numFmtId="0" fontId="3" fillId="0" borderId="0" xfId="0" applyFont="1" applyBorder="1" applyAlignment="1" applyProtection="1">
      <alignment horizontal="center" vertical="center"/>
      <protection hidden="1"/>
    </xf>
    <xf numFmtId="0" fontId="2" fillId="0" borderId="0" xfId="0" applyFont="1" applyBorder="1" applyAlignment="1" applyProtection="1">
      <alignment horizontal="center"/>
      <protection hidden="1"/>
    </xf>
    <xf numFmtId="0" fontId="3" fillId="0" borderId="7" xfId="0" applyFont="1" applyBorder="1" applyAlignment="1" applyProtection="1">
      <alignment horizontal="center" vertical="center"/>
      <protection hidden="1"/>
    </xf>
    <xf numFmtId="0" fontId="5" fillId="0" borderId="2" xfId="0" applyFont="1" applyBorder="1" applyAlignment="1" applyProtection="1">
      <alignment vertical="center" wrapText="1"/>
      <protection hidden="1"/>
    </xf>
    <xf numFmtId="0" fontId="3" fillId="0" borderId="8" xfId="0" applyFont="1" applyBorder="1" applyAlignment="1" applyProtection="1">
      <alignment horizontal="center" vertical="center"/>
      <protection hidden="1"/>
    </xf>
    <xf numFmtId="0" fontId="5" fillId="0" borderId="8" xfId="0" applyFont="1" applyBorder="1" applyAlignment="1" applyProtection="1">
      <alignment vertical="center" wrapText="1"/>
      <protection hidden="1"/>
    </xf>
    <xf numFmtId="0" fontId="5" fillId="0" borderId="0" xfId="0" applyFont="1" applyBorder="1" applyAlignment="1" applyProtection="1">
      <alignment vertical="center" wrapText="1"/>
      <protection hidden="1"/>
    </xf>
    <xf numFmtId="0" fontId="3" fillId="0" borderId="1" xfId="0" applyFont="1" applyBorder="1" applyAlignment="1" applyProtection="1">
      <alignment horizontal="center" vertical="center"/>
      <protection hidden="1"/>
    </xf>
    <xf numFmtId="0" fontId="2" fillId="0" borderId="6" xfId="0" applyFont="1" applyBorder="1" applyAlignment="1" applyProtection="1">
      <protection hidden="1"/>
    </xf>
    <xf numFmtId="0" fontId="2" fillId="0" borderId="4" xfId="0" applyFont="1" applyBorder="1" applyAlignment="1" applyProtection="1">
      <alignment horizontal="center" vertical="center"/>
      <protection hidden="1"/>
    </xf>
    <xf numFmtId="0" fontId="3" fillId="0" borderId="8" xfId="0"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protection hidden="1"/>
    </xf>
    <xf numFmtId="0" fontId="5" fillId="0" borderId="2" xfId="0" applyFont="1" applyBorder="1" applyAlignment="1" applyProtection="1">
      <alignment horizontal="center" vertical="center" wrapText="1"/>
      <protection hidden="1"/>
    </xf>
    <xf numFmtId="0" fontId="0" fillId="0" borderId="0" xfId="0" applyBorder="1" applyProtection="1">
      <protection hidden="1"/>
    </xf>
    <xf numFmtId="0" fontId="5" fillId="0" borderId="7"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5" fillId="0" borderId="8" xfId="0" applyFont="1" applyBorder="1" applyAlignment="1" applyProtection="1">
      <alignment horizontal="center" vertical="center" wrapText="1"/>
      <protection hidden="1"/>
    </xf>
    <xf numFmtId="0" fontId="5" fillId="0" borderId="0" xfId="0" applyFont="1" applyBorder="1" applyAlignment="1" applyProtection="1">
      <alignment horizontal="center" vertical="center" wrapText="1"/>
      <protection hidden="1"/>
    </xf>
    <xf numFmtId="0" fontId="0" fillId="0" borderId="0" xfId="0" applyFont="1" applyAlignment="1" applyProtection="1">
      <alignment horizontal="center" vertical="center" wrapText="1"/>
      <protection hidden="1"/>
    </xf>
    <xf numFmtId="0" fontId="2" fillId="0" borderId="7" xfId="0" applyFont="1" applyBorder="1" applyAlignment="1" applyProtection="1">
      <protection hidden="1"/>
    </xf>
    <xf numFmtId="0" fontId="0" fillId="0" borderId="8" xfId="0" applyFont="1" applyBorder="1" applyAlignment="1" applyProtection="1">
      <alignment horizontal="center" vertical="center"/>
      <protection hidden="1"/>
    </xf>
    <xf numFmtId="0" fontId="0" fillId="0" borderId="0" xfId="0" applyAlignment="1" applyProtection="1">
      <protection hidden="1"/>
    </xf>
    <xf numFmtId="170" fontId="0" fillId="0" borderId="0" xfId="0" applyNumberFormat="1" applyAlignment="1" applyProtection="1">
      <protection hidden="1"/>
    </xf>
    <xf numFmtId="2" fontId="0" fillId="0" borderId="0" xfId="0" applyNumberFormat="1" applyFill="1" applyBorder="1" applyAlignment="1" applyProtection="1">
      <protection hidden="1"/>
    </xf>
    <xf numFmtId="0" fontId="0" fillId="0" borderId="0" xfId="0" applyFont="1" applyFill="1" applyBorder="1" applyAlignment="1" applyProtection="1">
      <alignment vertical="center"/>
      <protection hidden="1"/>
    </xf>
    <xf numFmtId="0" fontId="2" fillId="0" borderId="5" xfId="0" applyFont="1" applyBorder="1" applyAlignment="1" applyProtection="1">
      <protection hidden="1"/>
    </xf>
    <xf numFmtId="0" fontId="2" fillId="0" borderId="6" xfId="0" applyFont="1" applyBorder="1" applyAlignment="1" applyProtection="1">
      <alignment horizontal="center" vertical="center"/>
      <protection hidden="1"/>
    </xf>
    <xf numFmtId="0" fontId="5" fillId="0" borderId="0" xfId="0" applyFont="1" applyProtection="1">
      <protection hidden="1"/>
    </xf>
    <xf numFmtId="169" fontId="6" fillId="0" borderId="0" xfId="0" applyNumberFormat="1" applyFont="1" applyAlignment="1" applyProtection="1">
      <alignment horizontal="left"/>
      <protection hidden="1"/>
    </xf>
    <xf numFmtId="0" fontId="5" fillId="0" borderId="0" xfId="0" applyFont="1" applyAlignment="1" applyProtection="1">
      <alignment horizontal="center"/>
      <protection hidden="1"/>
    </xf>
    <xf numFmtId="3" fontId="5" fillId="0" borderId="0" xfId="0" applyNumberFormat="1" applyFont="1" applyProtection="1">
      <protection hidden="1"/>
    </xf>
    <xf numFmtId="0" fontId="0" fillId="0" borderId="0" xfId="0" applyAlignment="1" applyProtection="1">
      <alignment horizontal="left" indent="1"/>
      <protection hidden="1"/>
    </xf>
    <xf numFmtId="0" fontId="5" fillId="0" borderId="0" xfId="0" applyFont="1" applyAlignment="1" applyProtection="1">
      <alignment horizontal="center" vertical="top"/>
      <protection hidden="1"/>
    </xf>
    <xf numFmtId="0" fontId="0" fillId="0" borderId="0" xfId="0" applyAlignment="1" applyProtection="1">
      <alignment horizontal="center" vertical="top"/>
      <protection hidden="1"/>
    </xf>
    <xf numFmtId="165" fontId="6" fillId="3" borderId="0" xfId="0" applyNumberFormat="1" applyFont="1" applyFill="1" applyBorder="1" applyAlignment="1" applyProtection="1">
      <alignment horizontal="left"/>
      <protection locked="0" hidden="1"/>
    </xf>
    <xf numFmtId="0" fontId="6" fillId="3" borderId="0" xfId="0" applyNumberFormat="1" applyFont="1" applyFill="1" applyBorder="1" applyAlignment="1" applyProtection="1">
      <alignment horizontal="left"/>
      <protection locked="0" hidden="1"/>
    </xf>
    <xf numFmtId="2" fontId="0" fillId="0" borderId="0" xfId="0" applyNumberFormat="1" applyProtection="1">
      <protection hidden="1"/>
    </xf>
    <xf numFmtId="170" fontId="0" fillId="0" borderId="0" xfId="0" applyNumberFormat="1" applyFill="1" applyProtection="1">
      <protection hidden="1"/>
    </xf>
    <xf numFmtId="169" fontId="6" fillId="0" borderId="12" xfId="0" applyNumberFormat="1" applyFont="1" applyFill="1" applyBorder="1" applyAlignment="1" applyProtection="1">
      <alignment horizontal="left"/>
      <protection hidden="1"/>
    </xf>
    <xf numFmtId="0" fontId="5" fillId="0" borderId="0" xfId="0" applyFont="1" applyFill="1" applyBorder="1" applyProtection="1">
      <protection hidden="1"/>
    </xf>
    <xf numFmtId="0" fontId="5" fillId="0" borderId="13" xfId="0" applyFont="1" applyFill="1" applyBorder="1" applyProtection="1">
      <protection hidden="1"/>
    </xf>
    <xf numFmtId="0" fontId="5" fillId="0" borderId="12" xfId="0" applyFont="1" applyBorder="1" applyProtection="1">
      <protection hidden="1"/>
    </xf>
    <xf numFmtId="0" fontId="5" fillId="0" borderId="13" xfId="0" applyFont="1" applyBorder="1" applyProtection="1">
      <protection hidden="1"/>
    </xf>
    <xf numFmtId="0" fontId="5" fillId="0" borderId="1" xfId="0" applyFont="1" applyBorder="1" applyAlignment="1" applyProtection="1">
      <alignment horizontal="center"/>
      <protection hidden="1"/>
    </xf>
    <xf numFmtId="0" fontId="5" fillId="0" borderId="1" xfId="0" applyFont="1" applyBorder="1" applyProtection="1">
      <protection hidden="1"/>
    </xf>
    <xf numFmtId="0" fontId="5" fillId="0" borderId="11" xfId="0" applyFont="1" applyBorder="1" applyProtection="1">
      <protection hidden="1"/>
    </xf>
    <xf numFmtId="3" fontId="5" fillId="0" borderId="2" xfId="0" applyNumberFormat="1" applyFont="1" applyBorder="1" applyProtection="1">
      <protection hidden="1"/>
    </xf>
    <xf numFmtId="0" fontId="5" fillId="0" borderId="2" xfId="0" applyFont="1" applyBorder="1" applyProtection="1">
      <protection hidden="1"/>
    </xf>
    <xf numFmtId="0" fontId="5" fillId="0" borderId="12" xfId="0" applyFont="1" applyBorder="1" applyAlignment="1" applyProtection="1">
      <alignment horizontal="center"/>
      <protection hidden="1"/>
    </xf>
    <xf numFmtId="3" fontId="5" fillId="0" borderId="0" xfId="0" applyNumberFormat="1" applyFont="1" applyBorder="1" applyProtection="1">
      <protection hidden="1"/>
    </xf>
    <xf numFmtId="0" fontId="5" fillId="0" borderId="0" xfId="0" applyFont="1" applyBorder="1" applyProtection="1">
      <protection hidden="1"/>
    </xf>
    <xf numFmtId="169" fontId="6" fillId="0" borderId="12" xfId="0" applyNumberFormat="1" applyFont="1" applyBorder="1" applyAlignment="1" applyProtection="1">
      <alignment horizontal="left"/>
      <protection hidden="1"/>
    </xf>
    <xf numFmtId="169" fontId="6" fillId="0" borderId="4" xfId="0" applyNumberFormat="1" applyFont="1" applyBorder="1" applyAlignment="1" applyProtection="1">
      <alignment horizontal="left"/>
      <protection hidden="1"/>
    </xf>
    <xf numFmtId="0" fontId="5" fillId="0" borderId="5" xfId="0" applyFont="1" applyBorder="1" applyProtection="1">
      <protection hidden="1"/>
    </xf>
    <xf numFmtId="0" fontId="5" fillId="0" borderId="14" xfId="0" applyFont="1" applyBorder="1" applyProtection="1">
      <protection hidden="1"/>
    </xf>
    <xf numFmtId="0" fontId="5" fillId="0" borderId="4" xfId="0" applyFont="1" applyBorder="1" applyProtection="1">
      <protection hidden="1"/>
    </xf>
    <xf numFmtId="0" fontId="5" fillId="0" borderId="4" xfId="0" applyFont="1" applyBorder="1" applyAlignment="1" applyProtection="1">
      <alignment horizontal="center"/>
      <protection hidden="1"/>
    </xf>
    <xf numFmtId="3" fontId="5" fillId="0" borderId="5" xfId="0" applyNumberFormat="1" applyFont="1" applyBorder="1" applyProtection="1">
      <protection hidden="1"/>
    </xf>
    <xf numFmtId="169" fontId="6" fillId="0" borderId="1" xfId="0" applyNumberFormat="1" applyFont="1" applyBorder="1" applyAlignment="1" applyProtection="1">
      <alignment horizontal="left"/>
      <protection hidden="1"/>
    </xf>
    <xf numFmtId="0" fontId="5" fillId="0" borderId="2" xfId="0" applyFont="1" applyBorder="1" applyAlignment="1" applyProtection="1">
      <alignment horizontal="center"/>
      <protection hidden="1"/>
    </xf>
    <xf numFmtId="3" fontId="5" fillId="0" borderId="1" xfId="0" applyNumberFormat="1" applyFont="1" applyBorder="1" applyProtection="1">
      <protection hidden="1"/>
    </xf>
    <xf numFmtId="0" fontId="5" fillId="0" borderId="0" xfId="0" applyFont="1" applyBorder="1" applyAlignment="1" applyProtection="1">
      <alignment horizontal="center"/>
      <protection hidden="1"/>
    </xf>
    <xf numFmtId="3" fontId="5" fillId="0" borderId="12" xfId="0" applyNumberFormat="1" applyFont="1" applyBorder="1" applyProtection="1">
      <protection hidden="1"/>
    </xf>
    <xf numFmtId="0" fontId="5" fillId="0" borderId="5" xfId="0" applyFont="1" applyBorder="1" applyAlignment="1" applyProtection="1">
      <alignment horizontal="center"/>
      <protection hidden="1"/>
    </xf>
    <xf numFmtId="3" fontId="5" fillId="0" borderId="4" xfId="0" applyNumberFormat="1" applyFont="1" applyBorder="1" applyProtection="1">
      <protection hidden="1"/>
    </xf>
    <xf numFmtId="0" fontId="3" fillId="0" borderId="0" xfId="0" applyFont="1" applyFill="1" applyBorder="1" applyAlignment="1" applyProtection="1">
      <alignment horizontal="center"/>
      <protection hidden="1"/>
    </xf>
    <xf numFmtId="0" fontId="2" fillId="2" borderId="8" xfId="0" applyFont="1" applyFill="1" applyBorder="1" applyAlignment="1" applyProtection="1">
      <alignment horizontal="left"/>
      <protection hidden="1"/>
    </xf>
    <xf numFmtId="0" fontId="3" fillId="2" borderId="10" xfId="0" applyFont="1" applyFill="1" applyBorder="1" applyAlignment="1" applyProtection="1">
      <alignment horizontal="left"/>
      <protection hidden="1"/>
    </xf>
    <xf numFmtId="0" fontId="3" fillId="2" borderId="10" xfId="0" applyFont="1" applyFill="1" applyBorder="1" applyAlignment="1" applyProtection="1">
      <alignment horizontal="center"/>
      <protection hidden="1"/>
    </xf>
    <xf numFmtId="0" fontId="3" fillId="2" borderId="9" xfId="0" applyFont="1" applyFill="1" applyBorder="1" applyAlignment="1" applyProtection="1">
      <alignment horizontal="center"/>
      <protection hidden="1"/>
    </xf>
    <xf numFmtId="0" fontId="5" fillId="0" borderId="7" xfId="0" applyFont="1" applyBorder="1" applyAlignment="1" applyProtection="1">
      <alignment horizontal="center"/>
      <protection hidden="1"/>
    </xf>
    <xf numFmtId="0" fontId="5" fillId="0" borderId="0" xfId="0" applyFont="1" applyFill="1" applyProtection="1"/>
    <xf numFmtId="0" fontId="5" fillId="0" borderId="20" xfId="0" applyFont="1" applyBorder="1" applyAlignment="1" applyProtection="1">
      <alignment horizontal="center"/>
      <protection hidden="1"/>
    </xf>
    <xf numFmtId="0" fontId="5" fillId="0" borderId="19" xfId="0" applyFont="1" applyBorder="1" applyAlignment="1" applyProtection="1">
      <alignment horizontal="center"/>
      <protection hidden="1"/>
    </xf>
    <xf numFmtId="0" fontId="5" fillId="0" borderId="6" xfId="0" applyFont="1" applyBorder="1" applyAlignment="1" applyProtection="1">
      <alignment horizontal="center"/>
      <protection hidden="1"/>
    </xf>
    <xf numFmtId="0" fontId="5" fillId="0" borderId="0" xfId="0" applyFont="1" applyAlignment="1" applyProtection="1">
      <alignment horizontal="right"/>
      <protection hidden="1"/>
    </xf>
    <xf numFmtId="0" fontId="5" fillId="0" borderId="0" xfId="0" applyFont="1" applyFill="1" applyProtection="1">
      <protection hidden="1"/>
    </xf>
    <xf numFmtId="0" fontId="2" fillId="0" borderId="0" xfId="0" applyFont="1" applyProtection="1">
      <protection hidden="1"/>
    </xf>
    <xf numFmtId="0" fontId="5" fillId="0" borderId="0" xfId="0" applyFont="1" applyAlignment="1" applyProtection="1">
      <protection hidden="1"/>
    </xf>
    <xf numFmtId="0" fontId="0" fillId="0" borderId="0" xfId="0" applyFill="1" applyBorder="1" applyProtection="1">
      <protection hidden="1"/>
    </xf>
    <xf numFmtId="2" fontId="5" fillId="0" borderId="0" xfId="0" applyNumberFormat="1" applyFont="1" applyAlignment="1" applyProtection="1">
      <alignment horizontal="center"/>
      <protection hidden="1"/>
    </xf>
    <xf numFmtId="0" fontId="0" fillId="0" borderId="0" xfId="0" applyProtection="1"/>
    <xf numFmtId="0" fontId="5" fillId="0" borderId="0" xfId="0" applyFont="1" applyProtection="1"/>
    <xf numFmtId="0" fontId="5" fillId="0" borderId="0" xfId="0" applyFont="1" applyAlignment="1" applyProtection="1"/>
    <xf numFmtId="0" fontId="0" fillId="0" borderId="0" xfId="0" applyFill="1" applyProtection="1"/>
    <xf numFmtId="0" fontId="5" fillId="0" borderId="0" xfId="0" applyFont="1" applyAlignment="1" applyProtection="1">
      <alignment horizontal="right"/>
    </xf>
    <xf numFmtId="169" fontId="6" fillId="0" borderId="0" xfId="0" applyNumberFormat="1" applyFont="1" applyAlignment="1" applyProtection="1">
      <alignment horizontal="left"/>
    </xf>
    <xf numFmtId="3" fontId="5" fillId="0" borderId="0" xfId="0" applyNumberFormat="1" applyFont="1" applyProtection="1"/>
    <xf numFmtId="0" fontId="6" fillId="0" borderId="0" xfId="0" applyFont="1" applyFill="1" applyBorder="1" applyAlignment="1" applyProtection="1"/>
    <xf numFmtId="0" fontId="5" fillId="0" borderId="0" xfId="0" applyFont="1" applyFill="1" applyAlignment="1" applyProtection="1">
      <alignment horizontal="right"/>
    </xf>
    <xf numFmtId="171" fontId="5" fillId="0" borderId="0" xfId="0" applyNumberFormat="1" applyFont="1" applyFill="1" applyBorder="1" applyAlignment="1" applyProtection="1">
      <alignment horizontal="center"/>
    </xf>
    <xf numFmtId="0" fontId="0" fillId="0" borderId="0" xfId="0" applyProtection="1">
      <protection locked="0"/>
    </xf>
    <xf numFmtId="0" fontId="5" fillId="0" borderId="0" xfId="0" applyFont="1"/>
    <xf numFmtId="0" fontId="5" fillId="0" borderId="0" xfId="0" applyFont="1" applyFill="1"/>
    <xf numFmtId="0" fontId="5" fillId="0" borderId="0" xfId="0" applyFont="1" applyFill="1" applyAlignment="1" applyProtection="1">
      <protection hidden="1"/>
    </xf>
    <xf numFmtId="0" fontId="5" fillId="0" borderId="0" xfId="0" applyFont="1" applyFill="1" applyBorder="1" applyAlignment="1" applyProtection="1">
      <alignment horizontal="right"/>
      <protection hidden="1"/>
    </xf>
    <xf numFmtId="2" fontId="5" fillId="0" borderId="0" xfId="0" applyNumberFormat="1" applyFont="1" applyFill="1" applyAlignment="1" applyProtection="1">
      <alignment horizontal="center"/>
      <protection hidden="1"/>
    </xf>
    <xf numFmtId="0" fontId="5" fillId="0" borderId="0" xfId="0" applyFont="1" applyFill="1" applyAlignment="1" applyProtection="1">
      <alignment horizontal="center"/>
      <protection hidden="1"/>
    </xf>
    <xf numFmtId="3" fontId="5" fillId="0" borderId="0" xfId="0" applyNumberFormat="1" applyFont="1"/>
    <xf numFmtId="0" fontId="0" fillId="0" borderId="0" xfId="0" applyFill="1"/>
    <xf numFmtId="0" fontId="5" fillId="3" borderId="7" xfId="0" applyFont="1" applyFill="1" applyBorder="1" applyAlignment="1" applyProtection="1">
      <alignment horizontal="center"/>
      <protection locked="0"/>
    </xf>
    <xf numFmtId="4" fontId="6" fillId="3" borderId="7" xfId="0" applyNumberFormat="1" applyFont="1" applyFill="1" applyBorder="1" applyAlignment="1" applyProtection="1">
      <alignment horizontal="center"/>
      <protection locked="0"/>
    </xf>
    <xf numFmtId="4" fontId="6" fillId="0" borderId="0" xfId="0" applyNumberFormat="1" applyFont="1" applyFill="1" applyBorder="1" applyAlignment="1" applyProtection="1">
      <alignment horizontal="center"/>
      <protection hidden="1"/>
    </xf>
    <xf numFmtId="0" fontId="6" fillId="0" borderId="0" xfId="0" applyFont="1" applyBorder="1" applyProtection="1">
      <protection hidden="1"/>
    </xf>
    <xf numFmtId="0" fontId="5" fillId="0" borderId="0" xfId="0" applyFont="1" applyAlignment="1">
      <alignment horizontal="right"/>
    </xf>
    <xf numFmtId="0" fontId="2" fillId="0" borderId="0" xfId="0" applyFont="1" applyFill="1" applyBorder="1" applyAlignment="1" applyProtection="1">
      <alignment horizontal="left"/>
      <protection hidden="1"/>
    </xf>
    <xf numFmtId="0" fontId="3" fillId="0" borderId="0" xfId="0" applyFont="1" applyFill="1" applyBorder="1" applyAlignment="1" applyProtection="1">
      <alignment horizontal="left"/>
      <protection hidden="1"/>
    </xf>
    <xf numFmtId="0" fontId="2" fillId="0" borderId="0" xfId="0" applyFont="1"/>
    <xf numFmtId="0" fontId="5" fillId="0" borderId="0" xfId="0" applyFont="1" applyAlignment="1" applyProtection="1">
      <alignment horizontal="left"/>
    </xf>
    <xf numFmtId="0" fontId="5" fillId="0" borderId="0" xfId="0" applyFont="1" applyFill="1" applyBorder="1" applyAlignment="1" applyProtection="1">
      <protection hidden="1"/>
    </xf>
    <xf numFmtId="0" fontId="5" fillId="0" borderId="0" xfId="0" applyFont="1" applyFill="1" applyBorder="1" applyAlignment="1" applyProtection="1">
      <alignment horizontal="right" vertical="center"/>
      <protection hidden="1"/>
    </xf>
    <xf numFmtId="4" fontId="5" fillId="0" borderId="0" xfId="0" applyNumberFormat="1" applyFont="1" applyAlignment="1" applyProtection="1">
      <alignment horizontal="center"/>
      <protection hidden="1"/>
    </xf>
    <xf numFmtId="167" fontId="5" fillId="3" borderId="7" xfId="0" applyNumberFormat="1" applyFont="1" applyFill="1" applyBorder="1" applyAlignment="1" applyProtection="1">
      <alignment horizontal="center"/>
      <protection locked="0"/>
    </xf>
    <xf numFmtId="0" fontId="5" fillId="0" borderId="7" xfId="0" applyFont="1" applyFill="1" applyBorder="1" applyAlignment="1" applyProtection="1">
      <alignment horizontal="center"/>
    </xf>
    <xf numFmtId="0" fontId="6" fillId="3" borderId="7" xfId="0" applyFont="1" applyFill="1" applyBorder="1" applyAlignment="1" applyProtection="1">
      <alignment horizontal="center"/>
      <protection locked="0"/>
    </xf>
    <xf numFmtId="0" fontId="5" fillId="0" borderId="0" xfId="0" applyFont="1" applyBorder="1" applyAlignment="1" applyProtection="1">
      <protection hidden="1"/>
    </xf>
    <xf numFmtId="170" fontId="5" fillId="0" borderId="0" xfId="0" applyNumberFormat="1" applyFont="1" applyAlignment="1" applyProtection="1">
      <alignment horizontal="center"/>
      <protection hidden="1"/>
    </xf>
    <xf numFmtId="0" fontId="5" fillId="0" borderId="0" xfId="0" applyFont="1" applyFill="1" applyAlignment="1" applyProtection="1">
      <alignment horizontal="right"/>
      <protection hidden="1"/>
    </xf>
    <xf numFmtId="168" fontId="5" fillId="0" borderId="0" xfId="0" applyNumberFormat="1" applyFont="1" applyAlignment="1" applyProtection="1">
      <alignment horizontal="center"/>
      <protection hidden="1"/>
    </xf>
    <xf numFmtId="0" fontId="3" fillId="2" borderId="3" xfId="0" applyFont="1" applyFill="1" applyBorder="1" applyAlignment="1" applyProtection="1">
      <alignment horizontal="center"/>
      <protection hidden="1"/>
    </xf>
    <xf numFmtId="0" fontId="3" fillId="2" borderId="6" xfId="0" applyFont="1" applyFill="1" applyBorder="1" applyAlignment="1" applyProtection="1">
      <alignment horizontal="center"/>
      <protection hidden="1"/>
    </xf>
    <xf numFmtId="171" fontId="3" fillId="2" borderId="6" xfId="0" applyNumberFormat="1" applyFont="1" applyFill="1" applyBorder="1" applyAlignment="1" applyProtection="1">
      <alignment horizontal="center"/>
      <protection hidden="1"/>
    </xf>
    <xf numFmtId="2" fontId="5" fillId="3" borderId="7" xfId="0" applyNumberFormat="1" applyFont="1" applyFill="1" applyBorder="1" applyAlignment="1" applyProtection="1">
      <alignment horizontal="center"/>
      <protection locked="0" hidden="1"/>
    </xf>
    <xf numFmtId="2" fontId="3" fillId="2" borderId="7" xfId="0" applyNumberFormat="1" applyFont="1" applyFill="1" applyBorder="1" applyProtection="1">
      <protection hidden="1"/>
    </xf>
    <xf numFmtId="0" fontId="5" fillId="0" borderId="3" xfId="0" applyFont="1" applyFill="1" applyBorder="1" applyAlignment="1" applyProtection="1">
      <alignment horizontal="center"/>
      <protection hidden="1"/>
    </xf>
    <xf numFmtId="0" fontId="5" fillId="0" borderId="6" xfId="0" applyFont="1" applyFill="1" applyBorder="1" applyAlignment="1" applyProtection="1">
      <alignment horizontal="center"/>
      <protection hidden="1"/>
    </xf>
    <xf numFmtId="0" fontId="13" fillId="0" borderId="7" xfId="0" applyFont="1" applyFill="1" applyBorder="1" applyAlignment="1" applyProtection="1">
      <alignment horizontal="center"/>
    </xf>
    <xf numFmtId="0" fontId="3" fillId="0" borderId="6" xfId="0" applyFont="1" applyFill="1" applyBorder="1" applyAlignment="1" applyProtection="1">
      <alignment horizontal="center"/>
      <protection hidden="1"/>
    </xf>
    <xf numFmtId="0" fontId="3" fillId="0" borderId="3" xfId="0" applyFont="1" applyFill="1" applyBorder="1" applyAlignment="1" applyProtection="1">
      <alignment horizontal="center"/>
      <protection hidden="1"/>
    </xf>
    <xf numFmtId="0" fontId="5" fillId="0" borderId="0" xfId="0" applyFont="1" applyAlignment="1" applyProtection="1">
      <alignment horizontal="left" vertical="top"/>
      <protection hidden="1"/>
    </xf>
    <xf numFmtId="0" fontId="3" fillId="0" borderId="0" xfId="0" applyFont="1" applyAlignment="1" applyProtection="1">
      <protection hidden="1"/>
    </xf>
    <xf numFmtId="2" fontId="5" fillId="3" borderId="7" xfId="0" applyNumberFormat="1" applyFont="1" applyFill="1" applyBorder="1" applyAlignment="1" applyProtection="1">
      <alignment horizontal="center"/>
      <protection locked="0"/>
    </xf>
    <xf numFmtId="2" fontId="5" fillId="0" borderId="0" xfId="0" applyNumberFormat="1" applyFont="1" applyAlignment="1" applyProtection="1">
      <alignment horizontal="center" vertical="center"/>
      <protection hidden="1"/>
    </xf>
    <xf numFmtId="0" fontId="5" fillId="0" borderId="0" xfId="0" applyFont="1" applyAlignment="1" applyProtection="1">
      <alignment vertical="center"/>
      <protection hidden="1"/>
    </xf>
    <xf numFmtId="0" fontId="5" fillId="0" borderId="8" xfId="0" applyFont="1" applyFill="1" applyBorder="1" applyAlignment="1" applyProtection="1">
      <alignment horizontal="center"/>
      <protection locked="0" hidden="1"/>
    </xf>
    <xf numFmtId="0" fontId="5" fillId="0" borderId="9" xfId="0" applyFont="1" applyFill="1" applyBorder="1" applyAlignment="1" applyProtection="1">
      <alignment horizontal="center"/>
      <protection locked="0" hidden="1"/>
    </xf>
    <xf numFmtId="0" fontId="5" fillId="0" borderId="32" xfId="0" applyFont="1" applyFill="1" applyBorder="1" applyAlignment="1" applyProtection="1">
      <alignment horizontal="center"/>
      <protection locked="0" hidden="1"/>
    </xf>
    <xf numFmtId="0" fontId="5" fillId="0" borderId="33" xfId="0" applyFont="1" applyBorder="1" applyAlignment="1">
      <alignment horizontal="center"/>
    </xf>
    <xf numFmtId="3" fontId="5" fillId="0" borderId="0" xfId="0" applyNumberFormat="1" applyFont="1" applyAlignment="1">
      <alignment horizontal="center"/>
    </xf>
    <xf numFmtId="170" fontId="5" fillId="0" borderId="0" xfId="0" applyNumberFormat="1" applyFont="1" applyAlignment="1">
      <alignment horizontal="center"/>
    </xf>
    <xf numFmtId="3" fontId="5" fillId="0" borderId="0" xfId="0" applyNumberFormat="1" applyFont="1" applyFill="1" applyBorder="1" applyAlignment="1" applyProtection="1">
      <alignment horizontal="center"/>
    </xf>
    <xf numFmtId="0" fontId="5" fillId="0" borderId="0" xfId="0" applyFont="1" applyAlignment="1">
      <alignment horizontal="center"/>
    </xf>
    <xf numFmtId="0" fontId="5" fillId="0" borderId="0" xfId="0" applyFont="1" applyFill="1" applyBorder="1"/>
    <xf numFmtId="2" fontId="5" fillId="0" borderId="0" xfId="0" applyNumberFormat="1" applyFont="1" applyAlignment="1">
      <alignment horizontal="center"/>
    </xf>
    <xf numFmtId="0" fontId="0" fillId="0" borderId="0" xfId="0" applyAlignment="1">
      <alignment horizontal="right"/>
    </xf>
    <xf numFmtId="0" fontId="5" fillId="0" borderId="0" xfId="0" applyFont="1" applyFill="1" applyAlignment="1">
      <alignment horizontal="center"/>
    </xf>
    <xf numFmtId="0" fontId="0" fillId="0" borderId="26" xfId="0" applyFill="1" applyBorder="1" applyProtection="1">
      <protection hidden="1"/>
    </xf>
    <xf numFmtId="2" fontId="5" fillId="0" borderId="0" xfId="0" applyNumberFormat="1" applyFont="1" applyFill="1" applyAlignment="1" applyProtection="1">
      <alignment horizontal="center"/>
    </xf>
    <xf numFmtId="0" fontId="5" fillId="3" borderId="23" xfId="0" applyFont="1" applyFill="1" applyBorder="1" applyAlignment="1" applyProtection="1">
      <alignment horizontal="center"/>
      <protection locked="0"/>
    </xf>
    <xf numFmtId="0" fontId="5" fillId="0" borderId="0" xfId="0" applyFont="1" applyAlignment="1">
      <alignment horizontal="left"/>
    </xf>
    <xf numFmtId="1" fontId="3" fillId="2" borderId="7" xfId="0" applyNumberFormat="1" applyFont="1" applyFill="1" applyBorder="1" applyProtection="1">
      <protection hidden="1"/>
    </xf>
    <xf numFmtId="0" fontId="3" fillId="2" borderId="23" xfId="0" applyFont="1" applyFill="1" applyBorder="1" applyAlignment="1" applyProtection="1">
      <alignment horizontal="center"/>
      <protection hidden="1"/>
    </xf>
    <xf numFmtId="1" fontId="3" fillId="2" borderId="23" xfId="0" applyNumberFormat="1" applyFont="1" applyFill="1" applyBorder="1" applyAlignment="1" applyProtection="1">
      <alignment horizontal="center"/>
      <protection hidden="1"/>
    </xf>
    <xf numFmtId="1" fontId="5" fillId="3" borderId="23" xfId="0" applyNumberFormat="1" applyFont="1" applyFill="1" applyBorder="1" applyAlignment="1" applyProtection="1">
      <alignment horizontal="center"/>
      <protection locked="0"/>
    </xf>
    <xf numFmtId="0" fontId="0" fillId="0" borderId="0" xfId="0" applyAlignment="1">
      <alignment horizontal="center"/>
    </xf>
    <xf numFmtId="0" fontId="0" fillId="0" borderId="34" xfId="0" applyBorder="1"/>
    <xf numFmtId="0" fontId="5" fillId="0" borderId="0" xfId="0" applyFont="1" applyAlignment="1">
      <alignment horizontal="right" vertical="center"/>
    </xf>
    <xf numFmtId="0" fontId="5" fillId="3" borderId="0" xfId="0" applyFont="1" applyFill="1"/>
    <xf numFmtId="0" fontId="5" fillId="4" borderId="0" xfId="0" applyFont="1" applyFill="1"/>
    <xf numFmtId="0" fontId="18" fillId="0" borderId="0" xfId="0" applyFont="1" applyFill="1" applyBorder="1" applyProtection="1"/>
    <xf numFmtId="0" fontId="28" fillId="0" borderId="0" xfId="0" applyFont="1"/>
    <xf numFmtId="0" fontId="6" fillId="0" borderId="0" xfId="0" applyFont="1"/>
    <xf numFmtId="0" fontId="6" fillId="0" borderId="0" xfId="0" applyFont="1" applyAlignment="1">
      <alignment horizontal="center"/>
    </xf>
    <xf numFmtId="0" fontId="6" fillId="5" borderId="0" xfId="0" applyFont="1" applyFill="1" applyBorder="1" applyAlignment="1">
      <alignment horizontal="right"/>
    </xf>
    <xf numFmtId="0" fontId="6" fillId="4" borderId="0" xfId="0" applyFont="1" applyFill="1"/>
    <xf numFmtId="0" fontId="29" fillId="0" borderId="0" xfId="0" applyFont="1" applyFill="1"/>
    <xf numFmtId="0" fontId="28" fillId="6" borderId="0" xfId="0" applyFont="1" applyFill="1"/>
    <xf numFmtId="0" fontId="28" fillId="6" borderId="0" xfId="0" applyFont="1" applyFill="1" applyAlignment="1">
      <alignment horizontal="left"/>
    </xf>
    <xf numFmtId="0" fontId="28" fillId="6" borderId="0" xfId="0" applyFont="1" applyFill="1" applyAlignment="1">
      <alignment horizontal="right"/>
    </xf>
    <xf numFmtId="164" fontId="6" fillId="6" borderId="0" xfId="7" applyFont="1" applyFill="1" applyBorder="1" applyAlignment="1">
      <alignment horizontal="right"/>
    </xf>
    <xf numFmtId="164" fontId="30" fillId="6" borderId="0" xfId="7" applyFont="1" applyFill="1" applyBorder="1" applyAlignment="1">
      <alignment horizontal="left"/>
    </xf>
    <xf numFmtId="0" fontId="6" fillId="6" borderId="0" xfId="0" applyFont="1" applyFill="1" applyBorder="1"/>
    <xf numFmtId="0" fontId="6" fillId="0" borderId="0" xfId="0" applyFont="1" applyFill="1"/>
    <xf numFmtId="0" fontId="6" fillId="0" borderId="0" xfId="0" applyFont="1" applyAlignment="1">
      <alignment horizontal="right"/>
    </xf>
    <xf numFmtId="0" fontId="31" fillId="0" borderId="0" xfId="0" applyFont="1"/>
    <xf numFmtId="164" fontId="6" fillId="0" borderId="0" xfId="0" applyNumberFormat="1" applyFont="1"/>
    <xf numFmtId="164" fontId="30" fillId="0" borderId="0" xfId="7" applyFont="1" applyAlignment="1">
      <alignment horizontal="center"/>
    </xf>
    <xf numFmtId="0" fontId="29" fillId="3" borderId="0" xfId="0" applyFont="1" applyFill="1"/>
    <xf numFmtId="0" fontId="0" fillId="3" borderId="0" xfId="0" applyFill="1"/>
    <xf numFmtId="0" fontId="6" fillId="3" borderId="0" xfId="0" applyFont="1" applyFill="1"/>
    <xf numFmtId="164" fontId="6" fillId="4" borderId="0" xfId="7" applyFont="1" applyFill="1" applyAlignment="1">
      <alignment horizontal="center"/>
    </xf>
    <xf numFmtId="164" fontId="0" fillId="0" borderId="0" xfId="0" applyNumberFormat="1" applyAlignment="1">
      <alignment horizontal="center"/>
    </xf>
    <xf numFmtId="174" fontId="26" fillId="0" borderId="0" xfId="0" applyNumberFormat="1" applyFont="1" applyFill="1"/>
    <xf numFmtId="175" fontId="6" fillId="0" borderId="0" xfId="0" applyNumberFormat="1" applyFont="1" applyAlignment="1">
      <alignment horizontal="center"/>
    </xf>
    <xf numFmtId="175" fontId="6" fillId="4" borderId="0" xfId="0" applyNumberFormat="1" applyFont="1" applyFill="1" applyAlignment="1">
      <alignment horizontal="center"/>
    </xf>
    <xf numFmtId="175" fontId="6" fillId="0" borderId="0" xfId="0" applyNumberFormat="1" applyFont="1" applyAlignment="1">
      <alignment horizontal="left"/>
    </xf>
    <xf numFmtId="175" fontId="6" fillId="3" borderId="0" xfId="0" applyNumberFormat="1" applyFont="1" applyFill="1" applyAlignment="1">
      <alignment horizontal="center"/>
    </xf>
    <xf numFmtId="0" fontId="32" fillId="0" borderId="0" xfId="0" applyFont="1"/>
    <xf numFmtId="0" fontId="33" fillId="0" borderId="0" xfId="0" applyFont="1"/>
    <xf numFmtId="0" fontId="5" fillId="4" borderId="0" xfId="0" applyFont="1" applyFill="1" applyBorder="1" applyAlignment="1" applyProtection="1">
      <protection hidden="1"/>
    </xf>
    <xf numFmtId="0" fontId="5" fillId="0" borderId="33" xfId="0" applyFont="1" applyFill="1" applyBorder="1" applyAlignment="1">
      <alignment horizontal="center"/>
    </xf>
    <xf numFmtId="0" fontId="5" fillId="0" borderId="34" xfId="0" applyFont="1" applyFill="1" applyBorder="1" applyAlignment="1"/>
    <xf numFmtId="171" fontId="5" fillId="3" borderId="33" xfId="0" applyNumberFormat="1" applyFont="1" applyFill="1" applyBorder="1" applyAlignment="1" applyProtection="1">
      <alignment horizontal="center"/>
      <protection locked="0"/>
    </xf>
    <xf numFmtId="0" fontId="5" fillId="0" borderId="0" xfId="0" applyFont="1" applyFill="1" applyBorder="1" applyAlignment="1">
      <alignment horizontal="right"/>
    </xf>
    <xf numFmtId="0" fontId="5" fillId="3" borderId="33" xfId="0" applyFont="1" applyFill="1" applyBorder="1" applyAlignment="1" applyProtection="1">
      <alignment horizontal="center"/>
      <protection locked="0"/>
    </xf>
    <xf numFmtId="0" fontId="3" fillId="7" borderId="23" xfId="0" applyFont="1" applyFill="1" applyBorder="1" applyAlignment="1">
      <alignment horizontal="center"/>
    </xf>
    <xf numFmtId="2" fontId="5" fillId="0" borderId="0" xfId="0" applyNumberFormat="1" applyFont="1"/>
    <xf numFmtId="0" fontId="5" fillId="0" borderId="0" xfId="0" applyFont="1" applyAlignment="1">
      <alignment vertical="center"/>
    </xf>
    <xf numFmtId="2" fontId="5" fillId="0" borderId="0" xfId="0" applyNumberFormat="1" applyFont="1" applyFill="1" applyAlignment="1">
      <alignment horizontal="center"/>
    </xf>
    <xf numFmtId="0" fontId="5" fillId="0" borderId="0" xfId="0" applyFont="1" applyFill="1" applyAlignment="1">
      <alignment horizontal="right"/>
    </xf>
    <xf numFmtId="171" fontId="3" fillId="7" borderId="23" xfId="0" applyNumberFormat="1" applyFont="1" applyFill="1" applyBorder="1" applyAlignment="1">
      <alignment horizontal="center"/>
    </xf>
    <xf numFmtId="0" fontId="5" fillId="0" borderId="23" xfId="0" applyFont="1" applyBorder="1" applyAlignment="1">
      <alignment horizontal="center"/>
    </xf>
    <xf numFmtId="3" fontId="3" fillId="7" borderId="23" xfId="0" applyNumberFormat="1" applyFont="1" applyFill="1" applyBorder="1" applyAlignment="1">
      <alignment horizontal="center"/>
    </xf>
    <xf numFmtId="0" fontId="6" fillId="0" borderId="0" xfId="0" applyFont="1" applyFill="1" applyAlignment="1">
      <alignment horizontal="right"/>
    </xf>
    <xf numFmtId="0" fontId="18" fillId="7" borderId="23" xfId="0" applyFont="1" applyFill="1" applyBorder="1" applyAlignment="1">
      <alignment horizontal="center"/>
    </xf>
    <xf numFmtId="0" fontId="6" fillId="0" borderId="0" xfId="0" applyFont="1" applyFill="1" applyAlignment="1">
      <alignment horizontal="center"/>
    </xf>
    <xf numFmtId="9" fontId="0" fillId="0" borderId="0" xfId="8" applyFont="1"/>
    <xf numFmtId="2" fontId="5" fillId="0" borderId="23" xfId="0" applyNumberFormat="1" applyFont="1" applyBorder="1" applyAlignment="1">
      <alignment horizontal="center"/>
    </xf>
    <xf numFmtId="0" fontId="5" fillId="0" borderId="23" xfId="0" applyFont="1" applyBorder="1" applyAlignment="1"/>
    <xf numFmtId="0" fontId="5" fillId="0" borderId="23" xfId="0" applyFont="1" applyFill="1" applyBorder="1" applyAlignment="1">
      <alignment horizontal="center"/>
    </xf>
    <xf numFmtId="2" fontId="5" fillId="0" borderId="23" xfId="0" applyNumberFormat="1" applyFont="1" applyFill="1" applyBorder="1" applyAlignment="1">
      <alignment horizontal="center"/>
    </xf>
    <xf numFmtId="9" fontId="3" fillId="7" borderId="23" xfId="8" applyFont="1" applyFill="1" applyBorder="1" applyAlignment="1">
      <alignment horizontal="center"/>
    </xf>
    <xf numFmtId="171" fontId="5" fillId="0" borderId="1" xfId="0" applyNumberFormat="1" applyFont="1" applyBorder="1" applyProtection="1">
      <protection hidden="1"/>
    </xf>
    <xf numFmtId="171" fontId="5" fillId="0" borderId="12" xfId="0" applyNumberFormat="1" applyFont="1" applyBorder="1" applyProtection="1">
      <protection hidden="1"/>
    </xf>
    <xf numFmtId="171" fontId="5" fillId="0" borderId="4" xfId="0" applyNumberFormat="1" applyFont="1" applyBorder="1" applyProtection="1">
      <protection hidden="1"/>
    </xf>
    <xf numFmtId="171" fontId="0" fillId="0" borderId="0" xfId="0" applyNumberFormat="1"/>
    <xf numFmtId="0" fontId="5" fillId="0" borderId="8" xfId="0" applyFont="1" applyFill="1" applyBorder="1" applyAlignment="1" applyProtection="1">
      <alignment horizontal="left"/>
      <protection locked="0" hidden="1"/>
    </xf>
    <xf numFmtId="0" fontId="0" fillId="0" borderId="0" xfId="0" applyAlignment="1" applyProtection="1">
      <alignment horizontal="center"/>
      <protection hidden="1"/>
    </xf>
    <xf numFmtId="0" fontId="3" fillId="0" borderId="1" xfId="0" applyFont="1" applyBorder="1" applyAlignment="1" applyProtection="1">
      <alignment horizontal="center" vertical="center"/>
      <protection hidden="1"/>
    </xf>
    <xf numFmtId="0" fontId="3" fillId="0" borderId="8" xfId="0" applyFont="1" applyBorder="1" applyAlignment="1" applyProtection="1">
      <alignment horizontal="center" vertical="center"/>
      <protection hidden="1"/>
    </xf>
    <xf numFmtId="172" fontId="0" fillId="0" borderId="0" xfId="0" applyNumberFormat="1" applyProtection="1">
      <protection hidden="1"/>
    </xf>
    <xf numFmtId="1" fontId="5" fillId="0" borderId="0" xfId="0" applyNumberFormat="1" applyFont="1" applyFill="1" applyAlignment="1" applyProtection="1">
      <alignment horizontal="center"/>
      <protection hidden="1"/>
    </xf>
    <xf numFmtId="169" fontId="6" fillId="0" borderId="0" xfId="0" applyNumberFormat="1" applyFont="1" applyFill="1" applyBorder="1" applyAlignment="1" applyProtection="1">
      <alignment horizontal="left"/>
      <protection hidden="1"/>
    </xf>
    <xf numFmtId="169" fontId="6" fillId="0" borderId="0" xfId="0" applyNumberFormat="1" applyFont="1" applyBorder="1" applyAlignment="1" applyProtection="1">
      <alignment horizontal="left"/>
      <protection hidden="1"/>
    </xf>
    <xf numFmtId="0" fontId="5" fillId="0" borderId="7" xfId="0" applyFont="1" applyBorder="1" applyAlignment="1" applyProtection="1">
      <alignment horizontal="center"/>
      <protection hidden="1"/>
    </xf>
    <xf numFmtId="0" fontId="36" fillId="0" borderId="0" xfId="0" applyFont="1"/>
    <xf numFmtId="171" fontId="5" fillId="0" borderId="23" xfId="0" applyNumberFormat="1" applyFont="1" applyFill="1" applyBorder="1" applyAlignment="1">
      <alignment horizontal="center"/>
    </xf>
    <xf numFmtId="2" fontId="5" fillId="0" borderId="24" xfId="0" applyNumberFormat="1" applyFont="1" applyFill="1" applyBorder="1" applyAlignment="1">
      <alignment horizontal="center"/>
    </xf>
    <xf numFmtId="0" fontId="5" fillId="0" borderId="0" xfId="0" applyFont="1" applyFill="1" applyAlignment="1">
      <alignment horizontal="left"/>
    </xf>
    <xf numFmtId="0" fontId="24" fillId="0" borderId="0" xfId="0" applyFont="1"/>
    <xf numFmtId="171" fontId="3" fillId="0" borderId="31" xfId="0" applyNumberFormat="1" applyFont="1" applyFill="1" applyBorder="1" applyAlignment="1" applyProtection="1">
      <alignment horizontal="center"/>
    </xf>
    <xf numFmtId="0" fontId="5" fillId="0" borderId="0" xfId="0" applyFont="1" applyAlignment="1"/>
    <xf numFmtId="2" fontId="3" fillId="7" borderId="33" xfId="0" applyNumberFormat="1" applyFont="1" applyFill="1" applyBorder="1" applyAlignment="1">
      <alignment horizontal="center"/>
    </xf>
    <xf numFmtId="1" fontId="5" fillId="0" borderId="0" xfId="0" applyNumberFormat="1" applyFont="1" applyAlignment="1">
      <alignment horizontal="center"/>
    </xf>
    <xf numFmtId="3" fontId="0" fillId="0" borderId="0" xfId="0" applyNumberFormat="1"/>
    <xf numFmtId="0" fontId="5" fillId="0" borderId="0" xfId="0" applyFont="1" applyFill="1" applyBorder="1" applyAlignment="1" applyProtection="1">
      <alignment horizontal="center"/>
    </xf>
    <xf numFmtId="0" fontId="5" fillId="0" borderId="29" xfId="0" applyFont="1" applyBorder="1" applyProtection="1">
      <protection hidden="1"/>
    </xf>
    <xf numFmtId="0" fontId="10" fillId="0" borderId="0" xfId="0" applyFont="1" applyFill="1"/>
    <xf numFmtId="0" fontId="0" fillId="0" borderId="0" xfId="0" applyFont="1" applyAlignment="1">
      <alignment horizontal="right"/>
    </xf>
    <xf numFmtId="3" fontId="3" fillId="7" borderId="33" xfId="0" applyNumberFormat="1" applyFont="1" applyFill="1" applyBorder="1" applyAlignment="1">
      <alignment horizontal="center"/>
    </xf>
    <xf numFmtId="3" fontId="18" fillId="7" borderId="33" xfId="0" applyNumberFormat="1" applyFont="1" applyFill="1" applyBorder="1" applyAlignment="1">
      <alignment horizontal="center"/>
    </xf>
    <xf numFmtId="0" fontId="0" fillId="0" borderId="0" xfId="0" applyFont="1" applyFill="1"/>
    <xf numFmtId="2" fontId="3" fillId="0" borderId="0" xfId="0" applyNumberFormat="1" applyFont="1" applyFill="1" applyBorder="1" applyAlignment="1">
      <alignment horizontal="center"/>
    </xf>
    <xf numFmtId="0" fontId="5" fillId="0" borderId="0" xfId="0" applyFont="1" applyFill="1" applyAlignment="1"/>
    <xf numFmtId="170" fontId="5" fillId="0" borderId="23" xfId="0" applyNumberFormat="1" applyFont="1" applyFill="1" applyBorder="1" applyAlignment="1" applyProtection="1">
      <alignment horizontal="center"/>
    </xf>
    <xf numFmtId="3" fontId="5" fillId="3" borderId="33" xfId="0" applyNumberFormat="1" applyFont="1" applyFill="1" applyBorder="1" applyAlignment="1" applyProtection="1">
      <alignment horizontal="center"/>
      <protection locked="0"/>
    </xf>
    <xf numFmtId="0" fontId="31" fillId="0" borderId="0" xfId="0" applyFont="1" applyFill="1" applyAlignment="1"/>
    <xf numFmtId="171" fontId="5" fillId="0" borderId="0" xfId="0" applyNumberFormat="1" applyFont="1" applyFill="1" applyBorder="1" applyAlignment="1">
      <alignment horizontal="center"/>
    </xf>
    <xf numFmtId="0" fontId="3" fillId="2" borderId="33" xfId="0" applyFont="1" applyFill="1" applyBorder="1" applyAlignment="1" applyProtection="1">
      <alignment horizontal="center"/>
    </xf>
    <xf numFmtId="2" fontId="3" fillId="7" borderId="23" xfId="0" applyNumberFormat="1" applyFont="1" applyFill="1" applyBorder="1" applyAlignment="1">
      <alignment horizontal="center"/>
    </xf>
    <xf numFmtId="170" fontId="3" fillId="0" borderId="0" xfId="0" applyNumberFormat="1" applyFont="1" applyFill="1" applyBorder="1" applyAlignment="1">
      <alignment horizontal="center"/>
    </xf>
    <xf numFmtId="3" fontId="5" fillId="3" borderId="6" xfId="0" applyNumberFormat="1" applyFont="1" applyFill="1" applyBorder="1" applyAlignment="1" applyProtection="1">
      <alignment horizontal="center"/>
      <protection locked="0"/>
    </xf>
    <xf numFmtId="3" fontId="5" fillId="0" borderId="0" xfId="0" applyNumberFormat="1" applyFont="1" applyAlignment="1" applyProtection="1">
      <alignment horizontal="center" vertical="center"/>
    </xf>
    <xf numFmtId="171" fontId="5" fillId="3" borderId="23" xfId="0" applyNumberFormat="1" applyFont="1" applyFill="1" applyBorder="1" applyAlignment="1" applyProtection="1">
      <alignment horizontal="center"/>
      <protection locked="0"/>
    </xf>
    <xf numFmtId="0" fontId="5" fillId="0" borderId="0" xfId="0" applyFont="1" applyAlignment="1" applyProtection="1">
      <alignment horizontal="right" vertical="center"/>
    </xf>
    <xf numFmtId="0" fontId="3" fillId="2" borderId="33" xfId="0" applyFont="1" applyFill="1" applyBorder="1" applyAlignment="1">
      <alignment horizontal="center"/>
    </xf>
    <xf numFmtId="0" fontId="0" fillId="0" borderId="0" xfId="0" applyFill="1" applyBorder="1" applyAlignment="1" applyProtection="1">
      <alignment horizontal="center"/>
      <protection locked="0"/>
    </xf>
    <xf numFmtId="0" fontId="0" fillId="3" borderId="12" xfId="0" applyFill="1" applyBorder="1" applyAlignment="1" applyProtection="1">
      <protection locked="0"/>
    </xf>
    <xf numFmtId="0" fontId="0" fillId="0" borderId="0" xfId="0" applyAlignment="1" applyProtection="1">
      <protection locked="0"/>
    </xf>
    <xf numFmtId="0" fontId="0" fillId="0" borderId="13" xfId="0" applyBorder="1" applyAlignment="1" applyProtection="1">
      <protection locked="0"/>
    </xf>
    <xf numFmtId="0" fontId="0" fillId="3" borderId="4" xfId="0" applyFill="1" applyBorder="1" applyAlignment="1" applyProtection="1">
      <protection locked="0"/>
    </xf>
    <xf numFmtId="0" fontId="0" fillId="0" borderId="28" xfId="0" applyBorder="1" applyAlignment="1" applyProtection="1">
      <protection locked="0"/>
    </xf>
    <xf numFmtId="0" fontId="0" fillId="0" borderId="29" xfId="0" applyBorder="1" applyAlignment="1" applyProtection="1">
      <protection locked="0"/>
    </xf>
    <xf numFmtId="0" fontId="0" fillId="3" borderId="25" xfId="0" applyFill="1" applyBorder="1" applyAlignment="1" applyProtection="1">
      <protection locked="0"/>
    </xf>
    <xf numFmtId="0" fontId="0" fillId="0" borderId="26" xfId="0" applyBorder="1" applyAlignment="1" applyProtection="1">
      <protection locked="0"/>
    </xf>
    <xf numFmtId="0" fontId="0" fillId="0" borderId="27" xfId="0" applyBorder="1" applyAlignment="1" applyProtection="1">
      <protection locked="0"/>
    </xf>
    <xf numFmtId="166" fontId="6" fillId="3" borderId="4" xfId="0" applyNumberFormat="1" applyFont="1" applyFill="1" applyBorder="1" applyAlignment="1" applyProtection="1">
      <alignment horizontal="left"/>
      <protection locked="0"/>
    </xf>
    <xf numFmtId="0" fontId="0" fillId="0" borderId="28" xfId="0" applyBorder="1" applyAlignment="1" applyProtection="1">
      <alignment horizontal="left"/>
      <protection locked="0"/>
    </xf>
    <xf numFmtId="0" fontId="0" fillId="0" borderId="29" xfId="0" applyBorder="1" applyAlignment="1" applyProtection="1">
      <alignment horizontal="left"/>
      <protection locked="0"/>
    </xf>
    <xf numFmtId="0" fontId="2" fillId="0" borderId="25" xfId="0" applyFont="1" applyBorder="1" applyAlignment="1" applyProtection="1">
      <protection hidden="1"/>
    </xf>
    <xf numFmtId="0" fontId="0" fillId="0" borderId="27" xfId="0" applyBorder="1" applyAlignment="1"/>
    <xf numFmtId="0" fontId="2" fillId="0" borderId="12" xfId="0" applyFont="1" applyBorder="1" applyAlignment="1" applyProtection="1">
      <protection hidden="1"/>
    </xf>
    <xf numFmtId="0" fontId="0" fillId="0" borderId="13" xfId="0" applyBorder="1" applyAlignment="1"/>
    <xf numFmtId="0" fontId="2" fillId="2" borderId="30" xfId="0" applyFont="1" applyFill="1" applyBorder="1" applyAlignment="1" applyProtection="1">
      <alignment horizontal="left"/>
      <protection hidden="1"/>
    </xf>
    <xf numFmtId="0" fontId="0" fillId="0" borderId="31" xfId="0" applyBorder="1" applyAlignment="1"/>
    <xf numFmtId="0" fontId="0" fillId="0" borderId="32" xfId="0" applyBorder="1" applyAlignment="1"/>
    <xf numFmtId="0" fontId="2" fillId="0" borderId="4" xfId="0" applyFont="1" applyBorder="1" applyAlignment="1" applyProtection="1">
      <protection hidden="1"/>
    </xf>
    <xf numFmtId="0" fontId="0" fillId="0" borderId="29" xfId="0" applyBorder="1" applyAlignment="1"/>
    <xf numFmtId="165" fontId="6" fillId="3" borderId="12" xfId="0" applyNumberFormat="1" applyFont="1" applyFill="1" applyBorder="1" applyAlignment="1" applyProtection="1">
      <alignment horizontal="left"/>
      <protection locked="0"/>
    </xf>
    <xf numFmtId="0" fontId="0" fillId="0" borderId="0" xfId="0" applyAlignment="1" applyProtection="1">
      <alignment horizontal="left"/>
      <protection locked="0"/>
    </xf>
    <xf numFmtId="0" fontId="0" fillId="0" borderId="13" xfId="0" applyBorder="1" applyAlignment="1" applyProtection="1">
      <alignment horizontal="left"/>
      <protection locked="0"/>
    </xf>
    <xf numFmtId="165" fontId="6" fillId="0" borderId="0" xfId="0" applyNumberFormat="1" applyFont="1" applyFill="1" applyBorder="1" applyAlignment="1" applyProtection="1">
      <alignment horizontal="left"/>
      <protection hidden="1"/>
    </xf>
    <xf numFmtId="0" fontId="0" fillId="0" borderId="0" xfId="0" applyFill="1" applyAlignment="1" applyProtection="1">
      <alignment horizontal="left"/>
      <protection hidden="1"/>
    </xf>
    <xf numFmtId="0" fontId="0" fillId="0" borderId="13" xfId="0" applyFill="1" applyBorder="1" applyAlignment="1" applyProtection="1">
      <alignment horizontal="left"/>
      <protection hidden="1"/>
    </xf>
    <xf numFmtId="165" fontId="6" fillId="3" borderId="25" xfId="0" applyNumberFormat="1" applyFont="1" applyFill="1" applyBorder="1" applyAlignment="1" applyProtection="1">
      <alignment horizontal="left"/>
      <protection locked="0"/>
    </xf>
    <xf numFmtId="0" fontId="0" fillId="0" borderId="26" xfId="0" applyBorder="1" applyAlignment="1" applyProtection="1">
      <alignment horizontal="left"/>
      <protection locked="0"/>
    </xf>
    <xf numFmtId="0" fontId="0" fillId="0" borderId="27" xfId="0" applyBorder="1" applyAlignment="1" applyProtection="1">
      <alignment horizontal="left"/>
      <protection locked="0"/>
    </xf>
    <xf numFmtId="165" fontId="6" fillId="3" borderId="12" xfId="0" quotePrefix="1" applyNumberFormat="1" applyFont="1" applyFill="1" applyBorder="1" applyAlignment="1" applyProtection="1">
      <alignment horizontal="left"/>
      <protection locked="0"/>
    </xf>
    <xf numFmtId="0" fontId="5" fillId="0" borderId="7" xfId="0" applyFont="1" applyBorder="1" applyAlignment="1" applyProtection="1">
      <alignment horizontal="center"/>
      <protection hidden="1"/>
    </xf>
    <xf numFmtId="0" fontId="5" fillId="0" borderId="3" xfId="0" applyFont="1" applyBorder="1" applyAlignment="1" applyProtection="1">
      <alignment horizontal="center" vertical="top" wrapText="1"/>
      <protection hidden="1"/>
    </xf>
    <xf numFmtId="0" fontId="5" fillId="0" borderId="6" xfId="0" applyFont="1" applyBorder="1" applyAlignment="1" applyProtection="1">
      <alignment horizontal="center" vertical="top" wrapText="1"/>
      <protection hidden="1"/>
    </xf>
    <xf numFmtId="0" fontId="5" fillId="0" borderId="17" xfId="0" applyFont="1" applyBorder="1" applyAlignment="1" applyProtection="1">
      <alignment horizontal="center" vertical="top" wrapText="1"/>
      <protection hidden="1"/>
    </xf>
    <xf numFmtId="0" fontId="0" fillId="0" borderId="18" xfId="0" applyBorder="1" applyAlignment="1">
      <alignment horizontal="center" vertical="top" wrapText="1"/>
    </xf>
    <xf numFmtId="0" fontId="0" fillId="0" borderId="4" xfId="0" applyBorder="1" applyAlignment="1">
      <alignment horizontal="center" vertical="top" wrapText="1"/>
    </xf>
    <xf numFmtId="0" fontId="0" fillId="0" borderId="14" xfId="0" applyBorder="1" applyAlignment="1">
      <alignment horizontal="center" vertical="top" wrapText="1"/>
    </xf>
    <xf numFmtId="0" fontId="5" fillId="0" borderId="15" xfId="0" applyFont="1" applyBorder="1" applyAlignment="1" applyProtection="1">
      <alignment horizontal="center" wrapText="1"/>
      <protection hidden="1"/>
    </xf>
    <xf numFmtId="0" fontId="5" fillId="0" borderId="16" xfId="0" applyFont="1" applyBorder="1" applyAlignment="1" applyProtection="1">
      <alignment horizontal="center" wrapText="1"/>
      <protection hidden="1"/>
    </xf>
    <xf numFmtId="0" fontId="16" fillId="0" borderId="15" xfId="0" applyFont="1" applyBorder="1" applyAlignment="1" applyProtection="1">
      <alignment horizontal="center" wrapText="1"/>
      <protection hidden="1"/>
    </xf>
    <xf numFmtId="0" fontId="16" fillId="0" borderId="16" xfId="0" applyFont="1" applyBorder="1" applyAlignment="1">
      <alignment horizontal="center" wrapText="1"/>
    </xf>
    <xf numFmtId="0" fontId="6" fillId="0" borderId="3" xfId="0" applyFont="1" applyFill="1" applyBorder="1" applyAlignment="1" applyProtection="1">
      <alignment vertical="top" wrapText="1"/>
      <protection hidden="1"/>
    </xf>
    <xf numFmtId="0" fontId="5" fillId="0" borderId="3" xfId="0" applyFont="1" applyBorder="1" applyAlignment="1" applyProtection="1">
      <alignment vertical="top" wrapText="1"/>
      <protection hidden="1"/>
    </xf>
    <xf numFmtId="0" fontId="5" fillId="0" borderId="6" xfId="0" applyFont="1" applyBorder="1" applyAlignment="1" applyProtection="1">
      <alignment vertical="top" wrapText="1"/>
      <protection hidden="1"/>
    </xf>
    <xf numFmtId="0" fontId="6" fillId="0" borderId="8" xfId="0" applyFont="1" applyFill="1" applyBorder="1" applyAlignment="1" applyProtection="1">
      <protection hidden="1"/>
    </xf>
    <xf numFmtId="0" fontId="5" fillId="0" borderId="10" xfId="0" applyFont="1" applyBorder="1" applyAlignment="1" applyProtection="1">
      <protection hidden="1"/>
    </xf>
    <xf numFmtId="0" fontId="5" fillId="0" borderId="9" xfId="0" applyFont="1" applyBorder="1" applyAlignment="1" applyProtection="1">
      <protection hidden="1"/>
    </xf>
    <xf numFmtId="0" fontId="5" fillId="0" borderId="8" xfId="0" applyFont="1" applyFill="1" applyBorder="1" applyAlignment="1" applyProtection="1">
      <alignment horizontal="center"/>
      <protection hidden="1"/>
    </xf>
    <xf numFmtId="0" fontId="5" fillId="0" borderId="9" xfId="0" applyFont="1" applyFill="1" applyBorder="1" applyAlignment="1">
      <alignment horizontal="center"/>
    </xf>
    <xf numFmtId="0" fontId="3" fillId="0" borderId="1" xfId="0" applyFont="1" applyBorder="1" applyAlignment="1" applyProtection="1">
      <alignment horizontal="center" vertical="center"/>
      <protection hidden="1"/>
    </xf>
    <xf numFmtId="0" fontId="0" fillId="0" borderId="2" xfId="0" applyBorder="1" applyAlignment="1" applyProtection="1">
      <protection hidden="1"/>
    </xf>
    <xf numFmtId="0" fontId="0" fillId="0" borderId="4" xfId="0" applyBorder="1" applyAlignment="1" applyProtection="1">
      <protection hidden="1"/>
    </xf>
    <xf numFmtId="0" fontId="0" fillId="0" borderId="5" xfId="0" applyBorder="1" applyAlignment="1" applyProtection="1">
      <protection hidden="1"/>
    </xf>
    <xf numFmtId="0" fontId="2" fillId="0" borderId="7" xfId="0" applyFont="1" applyBorder="1" applyAlignment="1" applyProtection="1">
      <protection hidden="1"/>
    </xf>
    <xf numFmtId="0" fontId="3" fillId="0" borderId="8"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165" fontId="7" fillId="0" borderId="25" xfId="0" applyNumberFormat="1" applyFont="1" applyFill="1" applyBorder="1" applyAlignment="1" applyProtection="1">
      <alignment horizontal="left"/>
      <protection hidden="1"/>
    </xf>
    <xf numFmtId="0" fontId="0" fillId="0" borderId="27" xfId="0" applyBorder="1" applyAlignment="1" applyProtection="1">
      <alignment horizontal="left"/>
      <protection hidden="1"/>
    </xf>
    <xf numFmtId="165" fontId="7" fillId="0" borderId="4" xfId="0" applyNumberFormat="1" applyFont="1" applyFill="1" applyBorder="1" applyAlignment="1" applyProtection="1">
      <alignment horizontal="left"/>
      <protection hidden="1"/>
    </xf>
    <xf numFmtId="0" fontId="0" fillId="0" borderId="29" xfId="0" applyBorder="1" applyAlignment="1" applyProtection="1">
      <alignment horizontal="left"/>
      <protection hidden="1"/>
    </xf>
    <xf numFmtId="0" fontId="6" fillId="0" borderId="25" xfId="0" applyNumberFormat="1" applyFont="1" applyFill="1" applyBorder="1" applyAlignment="1" applyProtection="1">
      <alignment horizontal="left"/>
      <protection hidden="1"/>
    </xf>
    <xf numFmtId="0" fontId="0" fillId="0" borderId="26" xfId="0" applyNumberFormat="1" applyBorder="1" applyAlignment="1" applyProtection="1">
      <protection hidden="1"/>
    </xf>
    <xf numFmtId="0" fontId="0" fillId="0" borderId="26" xfId="0" applyBorder="1" applyAlignment="1" applyProtection="1">
      <protection hidden="1"/>
    </xf>
    <xf numFmtId="0" fontId="0" fillId="0" borderId="27" xfId="0" applyBorder="1" applyAlignment="1" applyProtection="1">
      <protection hidden="1"/>
    </xf>
    <xf numFmtId="0" fontId="6" fillId="0" borderId="4" xfId="0" applyNumberFormat="1" applyFont="1" applyFill="1" applyBorder="1" applyAlignment="1" applyProtection="1">
      <alignment horizontal="left"/>
      <protection hidden="1"/>
    </xf>
    <xf numFmtId="0" fontId="0" fillId="0" borderId="28" xfId="0" applyNumberFormat="1" applyBorder="1" applyAlignment="1" applyProtection="1">
      <protection hidden="1"/>
    </xf>
    <xf numFmtId="0" fontId="0" fillId="0" borderId="28" xfId="0" applyBorder="1" applyAlignment="1" applyProtection="1">
      <protection hidden="1"/>
    </xf>
    <xf numFmtId="0" fontId="0" fillId="0" borderId="29" xfId="0" applyBorder="1" applyAlignment="1" applyProtection="1">
      <protection hidden="1"/>
    </xf>
    <xf numFmtId="0" fontId="5" fillId="0" borderId="0" xfId="0" applyFont="1" applyAlignment="1" applyProtection="1">
      <alignment vertical="top" wrapText="1"/>
      <protection hidden="1"/>
    </xf>
    <xf numFmtId="0" fontId="0" fillId="0" borderId="0" xfId="0" applyAlignment="1">
      <alignment wrapText="1"/>
    </xf>
    <xf numFmtId="165" fontId="6" fillId="3" borderId="4" xfId="0" applyNumberFormat="1" applyFont="1" applyFill="1" applyBorder="1" applyAlignment="1" applyProtection="1">
      <alignment horizontal="left"/>
      <protection locked="0"/>
    </xf>
    <xf numFmtId="0" fontId="6" fillId="3" borderId="4" xfId="0" applyNumberFormat="1" applyFont="1" applyFill="1" applyBorder="1" applyAlignment="1" applyProtection="1">
      <alignment horizontal="left"/>
      <protection locked="0"/>
    </xf>
    <xf numFmtId="0" fontId="0" fillId="3" borderId="28" xfId="0" applyNumberFormat="1" applyFill="1" applyBorder="1" applyAlignment="1" applyProtection="1">
      <protection locked="0"/>
    </xf>
    <xf numFmtId="0" fontId="0" fillId="3" borderId="29" xfId="0" applyNumberFormat="1" applyFill="1" applyBorder="1" applyAlignment="1" applyProtection="1">
      <protection locked="0"/>
    </xf>
    <xf numFmtId="0" fontId="2" fillId="0" borderId="21" xfId="0" applyFont="1" applyBorder="1" applyAlignment="1" applyProtection="1">
      <protection hidden="1"/>
    </xf>
    <xf numFmtId="0" fontId="0" fillId="0" borderId="22" xfId="0" applyBorder="1" applyAlignment="1"/>
    <xf numFmtId="165" fontId="6" fillId="3" borderId="21" xfId="0" applyNumberFormat="1" applyFont="1" applyFill="1" applyBorder="1" applyAlignment="1" applyProtection="1">
      <alignment horizontal="left"/>
      <protection locked="0"/>
    </xf>
    <xf numFmtId="0" fontId="0" fillId="0" borderId="34" xfId="0" applyBorder="1" applyAlignment="1" applyProtection="1">
      <protection locked="0"/>
    </xf>
    <xf numFmtId="0" fontId="0" fillId="0" borderId="22" xfId="0" applyBorder="1" applyAlignment="1" applyProtection="1">
      <protection locked="0"/>
    </xf>
    <xf numFmtId="165" fontId="7" fillId="0" borderId="21" xfId="0" applyNumberFormat="1" applyFont="1" applyFill="1" applyBorder="1" applyAlignment="1" applyProtection="1">
      <alignment horizontal="left"/>
      <protection hidden="1"/>
    </xf>
    <xf numFmtId="0" fontId="0" fillId="0" borderId="22" xfId="0" applyBorder="1" applyAlignment="1" applyProtection="1">
      <alignment horizontal="left"/>
      <protection hidden="1"/>
    </xf>
    <xf numFmtId="0" fontId="6" fillId="3" borderId="21" xfId="0" applyNumberFormat="1" applyFont="1" applyFill="1" applyBorder="1" applyAlignment="1" applyProtection="1">
      <alignment horizontal="left"/>
      <protection locked="0"/>
    </xf>
    <xf numFmtId="0" fontId="0" fillId="3" borderId="34" xfId="0" applyNumberFormat="1" applyFill="1" applyBorder="1" applyAlignment="1" applyProtection="1">
      <protection locked="0"/>
    </xf>
    <xf numFmtId="0" fontId="0" fillId="3" borderId="22" xfId="0" applyNumberFormat="1" applyFill="1" applyBorder="1" applyAlignment="1" applyProtection="1">
      <protection locked="0"/>
    </xf>
  </cellXfs>
  <cellStyles count="9">
    <cellStyle name="Comma0" xfId="3" xr:uid="{00000000-0005-0000-0000-000000000000}"/>
    <cellStyle name="Currency0" xfId="4" xr:uid="{00000000-0005-0000-0000-000001000000}"/>
    <cellStyle name="Date" xfId="5" xr:uid="{00000000-0005-0000-0000-000002000000}"/>
    <cellStyle name="Fixed" xfId="6" xr:uid="{00000000-0005-0000-0000-000003000000}"/>
    <cellStyle name="Komma 2" xfId="7" xr:uid="{00000000-0005-0000-0000-000005000000}"/>
    <cellStyle name="Normal" xfId="0" builtinId="0"/>
    <cellStyle name="Normal 2" xfId="2" xr:uid="{00000000-0005-0000-0000-000007000000}"/>
    <cellStyle name="Percent" xfId="8" builtinId="5"/>
    <cellStyle name="Standaard_CROSS2" xfId="1"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trlProps/ctrlProp1.xml><?xml version="1.0" encoding="utf-8"?>
<formControlPr xmlns="http://schemas.microsoft.com/office/spreadsheetml/2009/9/main" objectType="Drop" dropLines="4" dropStyle="combo" dx="16" fmlaLink="$D$14" fmlaRange="Wind!$V$99:$V$102" noThreeD="1" sel="1" val="0"/>
</file>

<file path=xl/ctrlProps/ctrlProp10.xml><?xml version="1.0" encoding="utf-8"?>
<formControlPr xmlns="http://schemas.microsoft.com/office/spreadsheetml/2009/9/main" objectType="Drop" dropStyle="combo" dx="16" fmlaLink="$C$53" fmlaRange="$W$20:$W$27" noThreeD="1" sel="1" val="0"/>
</file>

<file path=xl/ctrlProps/ctrlProp11.xml><?xml version="1.0" encoding="utf-8"?>
<formControlPr xmlns="http://schemas.microsoft.com/office/spreadsheetml/2009/9/main" objectType="Drop" dropLines="6" dropStyle="combo" dx="16" fmlaLink="$C$17" fmlaRange="$L$30:$L$45" noThreeD="1" sel="4" val="3"/>
</file>

<file path=xl/ctrlProps/ctrlProp12.xml><?xml version="1.0" encoding="utf-8"?>
<formControlPr xmlns="http://schemas.microsoft.com/office/spreadsheetml/2009/9/main" objectType="Drop" dropStyle="combo" dx="16" fmlaLink="$C$18" fmlaRange="$N$17:$N$24" noThreeD="1" sel="6" val="0"/>
</file>

<file path=xl/ctrlProps/ctrlProp13.xml><?xml version="1.0" encoding="utf-8"?>
<formControlPr xmlns="http://schemas.microsoft.com/office/spreadsheetml/2009/9/main" objectType="Drop" dropLines="2" dropStyle="combo" dx="16" fmlaLink="$C$26" fmlaRange="$W$7:$W$8" noThreeD="1" sel="1" val="0"/>
</file>

<file path=xl/ctrlProps/ctrlProp14.xml><?xml version="1.0" encoding="utf-8"?>
<formControlPr xmlns="http://schemas.microsoft.com/office/spreadsheetml/2009/9/main" objectType="Drop" dropLines="2" dropStyle="combo" dx="16" fmlaLink="$C$38" fmlaRange="$W$14:$W$15" noThreeD="1" sel="1" val="0"/>
</file>

<file path=xl/ctrlProps/ctrlProp15.xml><?xml version="1.0" encoding="utf-8"?>
<formControlPr xmlns="http://schemas.microsoft.com/office/spreadsheetml/2009/9/main" objectType="Drop" dropLines="2" dropStyle="combo" dx="16" fmlaLink="$C$19" fmlaRange="$W$10:$W$11" noThreeD="1" sel="2" val="0"/>
</file>

<file path=xl/ctrlProps/ctrlProp16.xml><?xml version="1.0" encoding="utf-8"?>
<formControlPr xmlns="http://schemas.microsoft.com/office/spreadsheetml/2009/9/main" objectType="Drop" dropLines="2" dropStyle="combo" dx="16" fmlaLink="$C$58" fmlaRange="$W$14:$W$15" noThreeD="1" sel="1" val="0"/>
</file>

<file path=xl/ctrlProps/ctrlProp17.xml><?xml version="1.0" encoding="utf-8"?>
<formControlPr xmlns="http://schemas.microsoft.com/office/spreadsheetml/2009/9/main" objectType="Drop" dropLines="2" dropStyle="combo" dx="16" fmlaLink="$C$37" fmlaRange="$W$21:$W$22" noThreeD="1" sel="1" val="0"/>
</file>

<file path=xl/ctrlProps/ctrlProp18.xml><?xml version="1.0" encoding="utf-8"?>
<formControlPr xmlns="http://schemas.microsoft.com/office/spreadsheetml/2009/9/main" objectType="Drop" dropStyle="combo" dx="16" fmlaLink="$C$57" fmlaRange="$W$21:$W$28" noThreeD="1" sel="1" val="0"/>
</file>

<file path=xl/ctrlProps/ctrlProp2.xml><?xml version="1.0" encoding="utf-8"?>
<formControlPr xmlns="http://schemas.microsoft.com/office/spreadsheetml/2009/9/main" objectType="Drop" dropLines="3" dropStyle="combo" dx="16" fmlaLink="$D$8" fmlaRange="Wind!$W$153:$W$155" noThreeD="1" sel="1" val="0"/>
</file>

<file path=xl/ctrlProps/ctrlProp3.xml><?xml version="1.0" encoding="utf-8"?>
<formControlPr xmlns="http://schemas.microsoft.com/office/spreadsheetml/2009/9/main" objectType="Drop" dropLines="6" dropStyle="combo" dx="16" fmlaLink="$C$13" fmlaRange="$L$29:$L$44" noThreeD="1" sel="3" val="2"/>
</file>

<file path=xl/ctrlProps/ctrlProp4.xml><?xml version="1.0" encoding="utf-8"?>
<formControlPr xmlns="http://schemas.microsoft.com/office/spreadsheetml/2009/9/main" objectType="Drop" dropStyle="combo" dx="16" fmlaLink="$C$14" fmlaRange="$N$16:$N$23" noThreeD="1" sel="6" val="0"/>
</file>

<file path=xl/ctrlProps/ctrlProp5.xml><?xml version="1.0" encoding="utf-8"?>
<formControlPr xmlns="http://schemas.microsoft.com/office/spreadsheetml/2009/9/main" objectType="Drop" dropLines="2" dropStyle="combo" dx="16" fmlaLink="$C$22" fmlaRange="$W$7:$W$8" noThreeD="1" sel="1" val="0"/>
</file>

<file path=xl/ctrlProps/ctrlProp6.xml><?xml version="1.0" encoding="utf-8"?>
<formControlPr xmlns="http://schemas.microsoft.com/office/spreadsheetml/2009/9/main" objectType="Drop" dropLines="2" dropStyle="combo" dx="16" fmlaLink="$C$34" fmlaRange="$W$13:$W$14" noThreeD="1" sel="1" val="0"/>
</file>

<file path=xl/ctrlProps/ctrlProp7.xml><?xml version="1.0" encoding="utf-8"?>
<formControlPr xmlns="http://schemas.microsoft.com/office/spreadsheetml/2009/9/main" objectType="Drop" dropLines="2" dropStyle="combo" dx="16" fmlaLink="$C$15" fmlaRange="$W$10:$W$11" noThreeD="1" sel="2" val="0"/>
</file>

<file path=xl/ctrlProps/ctrlProp8.xml><?xml version="1.0" encoding="utf-8"?>
<formControlPr xmlns="http://schemas.microsoft.com/office/spreadsheetml/2009/9/main" objectType="Drop" dropLines="2" dropStyle="combo" dx="16" fmlaLink="$C$54" fmlaRange="$W$13:$W$14" noThreeD="1" sel="1" val="0"/>
</file>

<file path=xl/ctrlProps/ctrlProp9.xml><?xml version="1.0" encoding="utf-8"?>
<formControlPr xmlns="http://schemas.microsoft.com/office/spreadsheetml/2009/9/main" objectType="Drop" dropLines="2" dropStyle="combo" dx="16" fmlaLink="$C$33" fmlaRange="$W$20:$W$21" noThreeD="1" sel="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3" Type="http://schemas.openxmlformats.org/officeDocument/2006/relationships/image" Target="../media/image15.png"/><Relationship Id="rId18" Type="http://schemas.openxmlformats.org/officeDocument/2006/relationships/image" Target="../media/image20.png"/><Relationship Id="rId26" Type="http://schemas.openxmlformats.org/officeDocument/2006/relationships/image" Target="../media/image28.png"/><Relationship Id="rId3" Type="http://schemas.openxmlformats.org/officeDocument/2006/relationships/image" Target="../media/image5.png"/><Relationship Id="rId21" Type="http://schemas.openxmlformats.org/officeDocument/2006/relationships/image" Target="../media/image23.png"/><Relationship Id="rId34" Type="http://schemas.openxmlformats.org/officeDocument/2006/relationships/image" Target="../media/image36.emf"/><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5" Type="http://schemas.openxmlformats.org/officeDocument/2006/relationships/image" Target="../media/image27.png"/><Relationship Id="rId33" Type="http://schemas.openxmlformats.org/officeDocument/2006/relationships/image" Target="../media/image35.emf"/><Relationship Id="rId2" Type="http://schemas.openxmlformats.org/officeDocument/2006/relationships/image" Target="../media/image4.png"/><Relationship Id="rId16" Type="http://schemas.openxmlformats.org/officeDocument/2006/relationships/image" Target="../media/image18.png"/><Relationship Id="rId20" Type="http://schemas.openxmlformats.org/officeDocument/2006/relationships/image" Target="../media/image22.jpeg"/><Relationship Id="rId29" Type="http://schemas.openxmlformats.org/officeDocument/2006/relationships/image" Target="../media/image31.jpe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24" Type="http://schemas.openxmlformats.org/officeDocument/2006/relationships/image" Target="../media/image26.png"/><Relationship Id="rId32" Type="http://schemas.openxmlformats.org/officeDocument/2006/relationships/image" Target="../media/image34.emf"/><Relationship Id="rId5" Type="http://schemas.openxmlformats.org/officeDocument/2006/relationships/image" Target="../media/image7.jpeg"/><Relationship Id="rId15" Type="http://schemas.openxmlformats.org/officeDocument/2006/relationships/image" Target="../media/image17.png"/><Relationship Id="rId23" Type="http://schemas.openxmlformats.org/officeDocument/2006/relationships/image" Target="../media/image25.jpeg"/><Relationship Id="rId28" Type="http://schemas.openxmlformats.org/officeDocument/2006/relationships/image" Target="../media/image30.emf"/><Relationship Id="rId36" Type="http://schemas.openxmlformats.org/officeDocument/2006/relationships/image" Target="../media/image38.emf"/><Relationship Id="rId10" Type="http://schemas.openxmlformats.org/officeDocument/2006/relationships/image" Target="../media/image12.png"/><Relationship Id="rId19" Type="http://schemas.openxmlformats.org/officeDocument/2006/relationships/image" Target="../media/image21.png"/><Relationship Id="rId31" Type="http://schemas.openxmlformats.org/officeDocument/2006/relationships/image" Target="../media/image33.emf"/><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 Id="rId22" Type="http://schemas.openxmlformats.org/officeDocument/2006/relationships/image" Target="../media/image24.jpeg"/><Relationship Id="rId27" Type="http://schemas.openxmlformats.org/officeDocument/2006/relationships/image" Target="../media/image29.jpeg"/><Relationship Id="rId30" Type="http://schemas.openxmlformats.org/officeDocument/2006/relationships/image" Target="../media/image32.emf"/><Relationship Id="rId35" Type="http://schemas.openxmlformats.org/officeDocument/2006/relationships/image" Target="../media/image37.emf"/><Relationship Id="rId8" Type="http://schemas.openxmlformats.org/officeDocument/2006/relationships/image" Target="../media/image10.png"/></Relationships>
</file>

<file path=xl/drawings/_rels/drawing3.xml.rels><?xml version="1.0" encoding="UTF-8" standalone="yes"?>
<Relationships xmlns="http://schemas.openxmlformats.org/package/2006/relationships"><Relationship Id="rId3" Type="http://schemas.openxmlformats.org/officeDocument/2006/relationships/image" Target="../media/image52.emf"/><Relationship Id="rId2" Type="http://schemas.openxmlformats.org/officeDocument/2006/relationships/image" Target="../media/image51.emf"/><Relationship Id="rId1" Type="http://schemas.openxmlformats.org/officeDocument/2006/relationships/image" Target="../media/image50.emf"/></Relationships>
</file>

<file path=xl/drawings/_rels/drawing4.xml.rels><?xml version="1.0" encoding="UTF-8" standalone="yes"?>
<Relationships xmlns="http://schemas.openxmlformats.org/package/2006/relationships"><Relationship Id="rId3" Type="http://schemas.openxmlformats.org/officeDocument/2006/relationships/image" Target="../media/image54.emf"/><Relationship Id="rId2" Type="http://schemas.openxmlformats.org/officeDocument/2006/relationships/image" Target="../media/image53.emf"/><Relationship Id="rId1" Type="http://schemas.openxmlformats.org/officeDocument/2006/relationships/image" Target="../media/image50.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46.emf"/><Relationship Id="rId3" Type="http://schemas.openxmlformats.org/officeDocument/2006/relationships/image" Target="../media/image41.jpeg"/><Relationship Id="rId7" Type="http://schemas.openxmlformats.org/officeDocument/2006/relationships/image" Target="../media/image45.emf"/><Relationship Id="rId2" Type="http://schemas.openxmlformats.org/officeDocument/2006/relationships/image" Target="../media/image40.png"/><Relationship Id="rId1" Type="http://schemas.openxmlformats.org/officeDocument/2006/relationships/image" Target="../media/image39.png"/><Relationship Id="rId6" Type="http://schemas.openxmlformats.org/officeDocument/2006/relationships/image" Target="../media/image44.emf"/><Relationship Id="rId5" Type="http://schemas.openxmlformats.org/officeDocument/2006/relationships/image" Target="../media/image43.emf"/><Relationship Id="rId10" Type="http://schemas.openxmlformats.org/officeDocument/2006/relationships/image" Target="../media/image48.emf"/><Relationship Id="rId4" Type="http://schemas.openxmlformats.org/officeDocument/2006/relationships/image" Target="../media/image42.emf"/><Relationship Id="rId9" Type="http://schemas.openxmlformats.org/officeDocument/2006/relationships/image" Target="../media/image47.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9.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655320</xdr:colOff>
          <xdr:row>12</xdr:row>
          <xdr:rowOff>182880</xdr:rowOff>
        </xdr:from>
        <xdr:to>
          <xdr:col>5</xdr:col>
          <xdr:colOff>45720</xdr:colOff>
          <xdr:row>14</xdr:row>
          <xdr:rowOff>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0</xdr:colOff>
          <xdr:row>7</xdr:row>
          <xdr:rowOff>0</xdr:rowOff>
        </xdr:from>
        <xdr:to>
          <xdr:col>5</xdr:col>
          <xdr:colOff>45720</xdr:colOff>
          <xdr:row>8</xdr:row>
          <xdr:rowOff>7620</xdr:rowOff>
        </xdr:to>
        <xdr:sp macro="" textlink="">
          <xdr:nvSpPr>
            <xdr:cNvPr id="4098" name="Drop Dow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58</xdr:row>
          <xdr:rowOff>0</xdr:rowOff>
        </xdr:from>
        <xdr:to>
          <xdr:col>18</xdr:col>
          <xdr:colOff>0</xdr:colOff>
          <xdr:row>96</xdr:row>
          <xdr:rowOff>9525</xdr:rowOff>
        </xdr:to>
        <xdr:pic>
          <xdr:nvPicPr>
            <xdr:cNvPr id="4099" name="Picture 3">
              <a:extLst>
                <a:ext uri="{FF2B5EF4-FFF2-40B4-BE49-F238E27FC236}">
                  <a16:creationId xmlns:a16="http://schemas.microsoft.com/office/drawing/2014/main" id="{00000000-0008-0000-0600-000003100000}"/>
                </a:ext>
              </a:extLst>
            </xdr:cNvPr>
            <xdr:cNvPicPr>
              <a:picLocks noChangeAspect="1" noChangeArrowheads="1"/>
              <a:extLst>
                <a:ext uri="{84589F7E-364E-4C9E-8A38-B11213B215E9}">
                  <a14:cameraTool cellRange="CLINT" spid="_x0000_s4274"/>
                </a:ext>
              </a:extLst>
            </xdr:cNvPicPr>
          </xdr:nvPicPr>
          <xdr:blipFill>
            <a:blip xmlns:r="http://schemas.openxmlformats.org/officeDocument/2006/relationships" r:embed="rId1"/>
            <a:srcRect/>
            <a:stretch>
              <a:fillRect/>
            </a:stretch>
          </xdr:blipFill>
          <xdr:spPr bwMode="auto">
            <a:xfrm>
              <a:off x="209550" y="10839450"/>
              <a:ext cx="11163300" cy="6886575"/>
            </a:xfrm>
            <a:prstGeom prst="rect">
              <a:avLst/>
            </a:prstGeom>
            <a:solidFill>
              <a:srgbClr val="FFFFFF" mc:Ignorable="a14" a14:legacySpreadsheetColorIndex="65"/>
            </a:solidFill>
            <a:ln>
              <a:noFill/>
            </a:ln>
            <a:extLst>
              <a:ext uri="{91240B29-F687-4F45-9708-019B960494DF}">
                <a14:hiddenLine w="6350">
                  <a:solidFill>
                    <a:srgbClr val="99CCFF" mc:Ignorable="a14" a14:legacySpreadsheetColorIndex="44"/>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24</xdr:col>
      <xdr:colOff>47623</xdr:colOff>
      <xdr:row>131</xdr:row>
      <xdr:rowOff>29577</xdr:rowOff>
    </xdr:from>
    <xdr:to>
      <xdr:col>24</xdr:col>
      <xdr:colOff>2200274</xdr:colOff>
      <xdr:row>131</xdr:row>
      <xdr:rowOff>1655207</xdr:rowOff>
    </xdr:to>
    <xdr:pic>
      <xdr:nvPicPr>
        <xdr:cNvPr id="6" name="Picture 5" descr="zone 0.bmp">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cstate="print"/>
        <a:stretch>
          <a:fillRect/>
        </a:stretch>
      </xdr:blipFill>
      <xdr:spPr>
        <a:xfrm>
          <a:off x="15868648" y="24585027"/>
          <a:ext cx="2152651" cy="1625630"/>
        </a:xfrm>
        <a:prstGeom prst="rect">
          <a:avLst/>
        </a:prstGeom>
        <a:ln>
          <a:noFill/>
        </a:ln>
      </xdr:spPr>
    </xdr:pic>
    <xdr:clientData/>
  </xdr:twoCellAnchor>
  <xdr:twoCellAnchor editAs="oneCell">
    <xdr:from>
      <xdr:col>24</xdr:col>
      <xdr:colOff>57150</xdr:colOff>
      <xdr:row>132</xdr:row>
      <xdr:rowOff>31749</xdr:rowOff>
    </xdr:from>
    <xdr:to>
      <xdr:col>24</xdr:col>
      <xdr:colOff>2162175</xdr:colOff>
      <xdr:row>132</xdr:row>
      <xdr:rowOff>1731361</xdr:rowOff>
    </xdr:to>
    <xdr:pic>
      <xdr:nvPicPr>
        <xdr:cNvPr id="7" name="Picture 6" descr="zone 1.bmp">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cstate="print"/>
        <a:stretch>
          <a:fillRect/>
        </a:stretch>
      </xdr:blipFill>
      <xdr:spPr>
        <a:xfrm>
          <a:off x="15878175" y="26368374"/>
          <a:ext cx="2105025" cy="1699612"/>
        </a:xfrm>
        <a:prstGeom prst="rect">
          <a:avLst/>
        </a:prstGeom>
      </xdr:spPr>
    </xdr:pic>
    <xdr:clientData/>
  </xdr:twoCellAnchor>
  <xdr:twoCellAnchor editAs="oneCell">
    <xdr:from>
      <xdr:col>24</xdr:col>
      <xdr:colOff>41274</xdr:colOff>
      <xdr:row>133</xdr:row>
      <xdr:rowOff>12700</xdr:rowOff>
    </xdr:from>
    <xdr:to>
      <xdr:col>24</xdr:col>
      <xdr:colOff>2133600</xdr:colOff>
      <xdr:row>133</xdr:row>
      <xdr:rowOff>1762102</xdr:rowOff>
    </xdr:to>
    <xdr:pic>
      <xdr:nvPicPr>
        <xdr:cNvPr id="8" name="Picture 7" descr="zone 2.bmp">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3" cstate="print"/>
        <a:stretch>
          <a:fillRect/>
        </a:stretch>
      </xdr:blipFill>
      <xdr:spPr>
        <a:xfrm>
          <a:off x="15862299" y="28130500"/>
          <a:ext cx="2092326" cy="1749402"/>
        </a:xfrm>
        <a:prstGeom prst="rect">
          <a:avLst/>
        </a:prstGeom>
      </xdr:spPr>
    </xdr:pic>
    <xdr:clientData/>
  </xdr:twoCellAnchor>
  <xdr:twoCellAnchor editAs="oneCell">
    <xdr:from>
      <xdr:col>24</xdr:col>
      <xdr:colOff>41274</xdr:colOff>
      <xdr:row>134</xdr:row>
      <xdr:rowOff>32420</xdr:rowOff>
    </xdr:from>
    <xdr:to>
      <xdr:col>24</xdr:col>
      <xdr:colOff>2191574</xdr:colOff>
      <xdr:row>134</xdr:row>
      <xdr:rowOff>1752599</xdr:rowOff>
    </xdr:to>
    <xdr:pic>
      <xdr:nvPicPr>
        <xdr:cNvPr id="9" name="Picture 8" descr="zone 3.bmp">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4" cstate="print"/>
        <a:stretch>
          <a:fillRect/>
        </a:stretch>
      </xdr:blipFill>
      <xdr:spPr>
        <a:xfrm>
          <a:off x="15862299" y="29931395"/>
          <a:ext cx="2150300" cy="1720179"/>
        </a:xfrm>
        <a:prstGeom prst="rect">
          <a:avLst/>
        </a:prstGeom>
      </xdr:spPr>
    </xdr:pic>
    <xdr:clientData/>
  </xdr:twoCellAnchor>
  <xdr:twoCellAnchor editAs="oneCell">
    <xdr:from>
      <xdr:col>24</xdr:col>
      <xdr:colOff>47624</xdr:colOff>
      <xdr:row>135</xdr:row>
      <xdr:rowOff>28575</xdr:rowOff>
    </xdr:from>
    <xdr:to>
      <xdr:col>24</xdr:col>
      <xdr:colOff>2171700</xdr:colOff>
      <xdr:row>135</xdr:row>
      <xdr:rowOff>1735142</xdr:rowOff>
    </xdr:to>
    <xdr:pic>
      <xdr:nvPicPr>
        <xdr:cNvPr id="10" name="Picture 9" descr="zone 4.bmp">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5" cstate="print"/>
        <a:stretch>
          <a:fillRect/>
        </a:stretch>
      </xdr:blipFill>
      <xdr:spPr>
        <a:xfrm>
          <a:off x="15868649" y="31708725"/>
          <a:ext cx="2124076" cy="1706567"/>
        </a:xfrm>
        <a:prstGeom prst="rect">
          <a:avLst/>
        </a:prstGeom>
      </xdr:spPr>
    </xdr:pic>
    <xdr:clientData/>
  </xdr:twoCellAnchor>
  <xdr:twoCellAnchor editAs="oneCell">
    <xdr:from>
      <xdr:col>24</xdr:col>
      <xdr:colOff>58735</xdr:colOff>
      <xdr:row>152</xdr:row>
      <xdr:rowOff>55559</xdr:rowOff>
    </xdr:from>
    <xdr:to>
      <xdr:col>24</xdr:col>
      <xdr:colOff>4391025</xdr:colOff>
      <xdr:row>152</xdr:row>
      <xdr:rowOff>3747954</xdr:rowOff>
    </xdr:to>
    <xdr:pic>
      <xdr:nvPicPr>
        <xdr:cNvPr id="15" name="Picture 14" descr="windmap belgie.bmp">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6" cstate="print"/>
        <a:stretch>
          <a:fillRect/>
        </a:stretch>
      </xdr:blipFill>
      <xdr:spPr>
        <a:xfrm>
          <a:off x="18699160" y="33812159"/>
          <a:ext cx="4332290" cy="3692395"/>
        </a:xfrm>
        <a:prstGeom prst="rect">
          <a:avLst/>
        </a:prstGeom>
        <a:ln>
          <a:noFill/>
        </a:ln>
      </xdr:spPr>
    </xdr:pic>
    <xdr:clientData/>
  </xdr:twoCellAnchor>
  <xdr:twoCellAnchor editAs="oneCell">
    <xdr:from>
      <xdr:col>24</xdr:col>
      <xdr:colOff>66674</xdr:colOff>
      <xdr:row>163</xdr:row>
      <xdr:rowOff>66674</xdr:rowOff>
    </xdr:from>
    <xdr:to>
      <xdr:col>24</xdr:col>
      <xdr:colOff>4289249</xdr:colOff>
      <xdr:row>163</xdr:row>
      <xdr:rowOff>1752600</xdr:rowOff>
    </xdr:to>
    <xdr:pic>
      <xdr:nvPicPr>
        <xdr:cNvPr id="26" name="Picture 25">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22253574" y="30533974"/>
          <a:ext cx="4222575" cy="1685926"/>
        </a:xfrm>
        <a:prstGeom prst="rect">
          <a:avLst/>
        </a:prstGeom>
        <a:noFill/>
        <a:ln w="9525">
          <a:noFill/>
          <a:miter lim="800000"/>
          <a:headEnd/>
          <a:tailEnd/>
        </a:ln>
      </xdr:spPr>
    </xdr:pic>
    <xdr:clientData/>
  </xdr:twoCellAnchor>
  <xdr:twoCellAnchor editAs="oneCell">
    <xdr:from>
      <xdr:col>24</xdr:col>
      <xdr:colOff>76199</xdr:colOff>
      <xdr:row>160</xdr:row>
      <xdr:rowOff>57149</xdr:rowOff>
    </xdr:from>
    <xdr:to>
      <xdr:col>24</xdr:col>
      <xdr:colOff>4330700</xdr:colOff>
      <xdr:row>160</xdr:row>
      <xdr:rowOff>1727436</xdr:rowOff>
    </xdr:to>
    <xdr:pic>
      <xdr:nvPicPr>
        <xdr:cNvPr id="30" name="Picture 29" descr="gebouw op helling.bmp">
          <a:extLst>
            <a:ext uri="{FF2B5EF4-FFF2-40B4-BE49-F238E27FC236}">
              <a16:creationId xmlns:a16="http://schemas.microsoft.com/office/drawing/2014/main" id="{00000000-0008-0000-0800-00001E000000}"/>
            </a:ext>
          </a:extLst>
        </xdr:cNvPr>
        <xdr:cNvPicPr>
          <a:picLocks noChangeAspect="1"/>
        </xdr:cNvPicPr>
      </xdr:nvPicPr>
      <xdr:blipFill>
        <a:blip xmlns:r="http://schemas.openxmlformats.org/officeDocument/2006/relationships" r:embed="rId8" cstate="print"/>
        <a:stretch>
          <a:fillRect/>
        </a:stretch>
      </xdr:blipFill>
      <xdr:spPr>
        <a:xfrm>
          <a:off x="22263099" y="28619449"/>
          <a:ext cx="4254501" cy="1670287"/>
        </a:xfrm>
        <a:prstGeom prst="rect">
          <a:avLst/>
        </a:prstGeom>
      </xdr:spPr>
    </xdr:pic>
    <xdr:clientData/>
  </xdr:twoCellAnchor>
  <xdr:twoCellAnchor editAs="oneCell">
    <xdr:from>
      <xdr:col>24</xdr:col>
      <xdr:colOff>76201</xdr:colOff>
      <xdr:row>158</xdr:row>
      <xdr:rowOff>63500</xdr:rowOff>
    </xdr:from>
    <xdr:to>
      <xdr:col>24</xdr:col>
      <xdr:colOff>4343401</xdr:colOff>
      <xdr:row>158</xdr:row>
      <xdr:rowOff>1752600</xdr:rowOff>
    </xdr:to>
    <xdr:pic>
      <xdr:nvPicPr>
        <xdr:cNvPr id="31" name="Picture 30" descr="vlak terrein.bmp">
          <a:extLst>
            <a:ext uri="{FF2B5EF4-FFF2-40B4-BE49-F238E27FC236}">
              <a16:creationId xmlns:a16="http://schemas.microsoft.com/office/drawing/2014/main" id="{00000000-0008-0000-0800-00001F000000}"/>
            </a:ext>
          </a:extLst>
        </xdr:cNvPr>
        <xdr:cNvPicPr>
          <a:picLocks noChangeAspect="1"/>
        </xdr:cNvPicPr>
      </xdr:nvPicPr>
      <xdr:blipFill>
        <a:blip xmlns:r="http://schemas.openxmlformats.org/officeDocument/2006/relationships" r:embed="rId9" cstate="print"/>
        <a:stretch>
          <a:fillRect/>
        </a:stretch>
      </xdr:blipFill>
      <xdr:spPr>
        <a:xfrm>
          <a:off x="18716626" y="31772225"/>
          <a:ext cx="4267200" cy="1689100"/>
        </a:xfrm>
        <a:prstGeom prst="rect">
          <a:avLst/>
        </a:prstGeom>
      </xdr:spPr>
    </xdr:pic>
    <xdr:clientData/>
  </xdr:twoCellAnchor>
  <xdr:twoCellAnchor editAs="oneCell">
    <xdr:from>
      <xdr:col>24</xdr:col>
      <xdr:colOff>101600</xdr:colOff>
      <xdr:row>159</xdr:row>
      <xdr:rowOff>50800</xdr:rowOff>
    </xdr:from>
    <xdr:to>
      <xdr:col>24</xdr:col>
      <xdr:colOff>4343400</xdr:colOff>
      <xdr:row>159</xdr:row>
      <xdr:rowOff>1828800</xdr:rowOff>
    </xdr:to>
    <xdr:pic>
      <xdr:nvPicPr>
        <xdr:cNvPr id="32" name="Picture 31" descr="laagtij.bmp">
          <a:extLst>
            <a:ext uri="{FF2B5EF4-FFF2-40B4-BE49-F238E27FC236}">
              <a16:creationId xmlns:a16="http://schemas.microsoft.com/office/drawing/2014/main" id="{00000000-0008-0000-0800-000020000000}"/>
            </a:ext>
          </a:extLst>
        </xdr:cNvPr>
        <xdr:cNvPicPr>
          <a:picLocks noChangeAspect="1"/>
        </xdr:cNvPicPr>
      </xdr:nvPicPr>
      <xdr:blipFill>
        <a:blip xmlns:r="http://schemas.openxmlformats.org/officeDocument/2006/relationships" r:embed="rId10" cstate="print"/>
        <a:stretch>
          <a:fillRect/>
        </a:stretch>
      </xdr:blipFill>
      <xdr:spPr>
        <a:xfrm>
          <a:off x="22288500" y="28625800"/>
          <a:ext cx="4241800" cy="1778000"/>
        </a:xfrm>
        <a:prstGeom prst="rect">
          <a:avLst/>
        </a:prstGeom>
      </xdr:spPr>
    </xdr:pic>
    <xdr:clientData/>
  </xdr:twoCellAnchor>
  <xdr:twoCellAnchor editAs="oneCell">
    <xdr:from>
      <xdr:col>24</xdr:col>
      <xdr:colOff>47625</xdr:colOff>
      <xdr:row>146</xdr:row>
      <xdr:rowOff>38100</xdr:rowOff>
    </xdr:from>
    <xdr:to>
      <xdr:col>24</xdr:col>
      <xdr:colOff>2124075</xdr:colOff>
      <xdr:row>146</xdr:row>
      <xdr:rowOff>1728435</xdr:rowOff>
    </xdr:to>
    <xdr:pic>
      <xdr:nvPicPr>
        <xdr:cNvPr id="25" name="Picture 24" descr="typegebouw plat dak.bmp">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11" cstate="print"/>
        <a:stretch>
          <a:fillRect/>
        </a:stretch>
      </xdr:blipFill>
      <xdr:spPr>
        <a:xfrm>
          <a:off x="17316450" y="38785800"/>
          <a:ext cx="2076450" cy="1690335"/>
        </a:xfrm>
        <a:prstGeom prst="rect">
          <a:avLst/>
        </a:prstGeom>
      </xdr:spPr>
    </xdr:pic>
    <xdr:clientData/>
  </xdr:twoCellAnchor>
  <xdr:twoCellAnchor editAs="oneCell">
    <xdr:from>
      <xdr:col>24</xdr:col>
      <xdr:colOff>63501</xdr:colOff>
      <xdr:row>147</xdr:row>
      <xdr:rowOff>38102</xdr:rowOff>
    </xdr:from>
    <xdr:to>
      <xdr:col>24</xdr:col>
      <xdr:colOff>2142578</xdr:colOff>
      <xdr:row>147</xdr:row>
      <xdr:rowOff>1752600</xdr:rowOff>
    </xdr:to>
    <xdr:pic>
      <xdr:nvPicPr>
        <xdr:cNvPr id="28" name="Picture 27" descr="typegebouw één dakhelling.bmp">
          <a:extLst>
            <a:ext uri="{FF2B5EF4-FFF2-40B4-BE49-F238E27FC236}">
              <a16:creationId xmlns:a16="http://schemas.microsoft.com/office/drawing/2014/main" id="{00000000-0008-0000-0800-00001C000000}"/>
            </a:ext>
          </a:extLst>
        </xdr:cNvPr>
        <xdr:cNvPicPr>
          <a:picLocks noChangeAspect="1"/>
        </xdr:cNvPicPr>
      </xdr:nvPicPr>
      <xdr:blipFill>
        <a:blip xmlns:r="http://schemas.openxmlformats.org/officeDocument/2006/relationships" r:embed="rId12" cstate="print"/>
        <a:stretch>
          <a:fillRect/>
        </a:stretch>
      </xdr:blipFill>
      <xdr:spPr>
        <a:xfrm>
          <a:off x="17332326" y="40566977"/>
          <a:ext cx="2079077" cy="1714498"/>
        </a:xfrm>
        <a:prstGeom prst="rect">
          <a:avLst/>
        </a:prstGeom>
      </xdr:spPr>
    </xdr:pic>
    <xdr:clientData/>
  </xdr:twoCellAnchor>
  <xdr:twoCellAnchor editAs="oneCell">
    <xdr:from>
      <xdr:col>24</xdr:col>
      <xdr:colOff>47625</xdr:colOff>
      <xdr:row>148</xdr:row>
      <xdr:rowOff>50800</xdr:rowOff>
    </xdr:from>
    <xdr:to>
      <xdr:col>24</xdr:col>
      <xdr:colOff>2106059</xdr:colOff>
      <xdr:row>148</xdr:row>
      <xdr:rowOff>1733550</xdr:rowOff>
    </xdr:to>
    <xdr:pic>
      <xdr:nvPicPr>
        <xdr:cNvPr id="29" name="Picture 28" descr="typegebouw twee dakhellingen.bmp">
          <a:extLst>
            <a:ext uri="{FF2B5EF4-FFF2-40B4-BE49-F238E27FC236}">
              <a16:creationId xmlns:a16="http://schemas.microsoft.com/office/drawing/2014/main" id="{00000000-0008-0000-0800-00001D000000}"/>
            </a:ext>
          </a:extLst>
        </xdr:cNvPr>
        <xdr:cNvPicPr>
          <a:picLocks noChangeAspect="1"/>
        </xdr:cNvPicPr>
      </xdr:nvPicPr>
      <xdr:blipFill>
        <a:blip xmlns:r="http://schemas.openxmlformats.org/officeDocument/2006/relationships" r:embed="rId13" cstate="print"/>
        <a:stretch>
          <a:fillRect/>
        </a:stretch>
      </xdr:blipFill>
      <xdr:spPr>
        <a:xfrm>
          <a:off x="17316450" y="42360850"/>
          <a:ext cx="2058434" cy="1682750"/>
        </a:xfrm>
        <a:prstGeom prst="rect">
          <a:avLst/>
        </a:prstGeom>
      </xdr:spPr>
    </xdr:pic>
    <xdr:clientData/>
  </xdr:twoCellAnchor>
  <xdr:twoCellAnchor editAs="oneCell">
    <xdr:from>
      <xdr:col>24</xdr:col>
      <xdr:colOff>60325</xdr:colOff>
      <xdr:row>149</xdr:row>
      <xdr:rowOff>57150</xdr:rowOff>
    </xdr:from>
    <xdr:to>
      <xdr:col>24</xdr:col>
      <xdr:colOff>2124075</xdr:colOff>
      <xdr:row>149</xdr:row>
      <xdr:rowOff>1735364</xdr:rowOff>
    </xdr:to>
    <xdr:pic>
      <xdr:nvPicPr>
        <xdr:cNvPr id="35" name="Picture 34" descr="typegebouw vier dakhellingen.bmp">
          <a:extLst>
            <a:ext uri="{FF2B5EF4-FFF2-40B4-BE49-F238E27FC236}">
              <a16:creationId xmlns:a16="http://schemas.microsoft.com/office/drawing/2014/main" id="{00000000-0008-0000-0800-000023000000}"/>
            </a:ext>
          </a:extLst>
        </xdr:cNvPr>
        <xdr:cNvPicPr>
          <a:picLocks noChangeAspect="1"/>
        </xdr:cNvPicPr>
      </xdr:nvPicPr>
      <xdr:blipFill>
        <a:blip xmlns:r="http://schemas.openxmlformats.org/officeDocument/2006/relationships" r:embed="rId14" cstate="print"/>
        <a:stretch>
          <a:fillRect/>
        </a:stretch>
      </xdr:blipFill>
      <xdr:spPr>
        <a:xfrm>
          <a:off x="17329150" y="44148375"/>
          <a:ext cx="2063750" cy="1678214"/>
        </a:xfrm>
        <a:prstGeom prst="rect">
          <a:avLst/>
        </a:prstGeom>
      </xdr:spPr>
    </xdr:pic>
    <xdr:clientData/>
  </xdr:twoCellAnchor>
  <xdr:twoCellAnchor editAs="oneCell">
    <xdr:from>
      <xdr:col>24</xdr:col>
      <xdr:colOff>28577</xdr:colOff>
      <xdr:row>153</xdr:row>
      <xdr:rowOff>38100</xdr:rowOff>
    </xdr:from>
    <xdr:to>
      <xdr:col>24</xdr:col>
      <xdr:colOff>4395790</xdr:colOff>
      <xdr:row>153</xdr:row>
      <xdr:rowOff>5029200</xdr:rowOff>
    </xdr:to>
    <xdr:pic>
      <xdr:nvPicPr>
        <xdr:cNvPr id="38" name="Picture 37" descr="windkaart Frankrijk.bmp">
          <a:extLst>
            <a:ext uri="{FF2B5EF4-FFF2-40B4-BE49-F238E27FC236}">
              <a16:creationId xmlns:a16="http://schemas.microsoft.com/office/drawing/2014/main" id="{00000000-0008-0000-0800-000026000000}"/>
            </a:ext>
          </a:extLst>
        </xdr:cNvPr>
        <xdr:cNvPicPr>
          <a:picLocks noChangeAspect="1"/>
        </xdr:cNvPicPr>
      </xdr:nvPicPr>
      <xdr:blipFill>
        <a:blip xmlns:r="http://schemas.openxmlformats.org/officeDocument/2006/relationships" r:embed="rId15" cstate="print"/>
        <a:stretch>
          <a:fillRect/>
        </a:stretch>
      </xdr:blipFill>
      <xdr:spPr>
        <a:xfrm>
          <a:off x="18669002" y="38623875"/>
          <a:ext cx="4367213" cy="4991100"/>
        </a:xfrm>
        <a:prstGeom prst="rect">
          <a:avLst/>
        </a:prstGeom>
      </xdr:spPr>
    </xdr:pic>
    <xdr:clientData/>
  </xdr:twoCellAnchor>
  <xdr:twoCellAnchor editAs="oneCell">
    <xdr:from>
      <xdr:col>24</xdr:col>
      <xdr:colOff>38099</xdr:colOff>
      <xdr:row>165</xdr:row>
      <xdr:rowOff>38100</xdr:rowOff>
    </xdr:from>
    <xdr:to>
      <xdr:col>24</xdr:col>
      <xdr:colOff>4410074</xdr:colOff>
      <xdr:row>165</xdr:row>
      <xdr:rowOff>1955488</xdr:rowOff>
    </xdr:to>
    <xdr:pic>
      <xdr:nvPicPr>
        <xdr:cNvPr id="39" name="Picture 38" descr="hoge gebouwen.bmp">
          <a:extLst>
            <a:ext uri="{FF2B5EF4-FFF2-40B4-BE49-F238E27FC236}">
              <a16:creationId xmlns:a16="http://schemas.microsoft.com/office/drawing/2014/main" id="{00000000-0008-0000-0800-000027000000}"/>
            </a:ext>
          </a:extLst>
        </xdr:cNvPr>
        <xdr:cNvPicPr>
          <a:picLocks noChangeAspect="1"/>
        </xdr:cNvPicPr>
      </xdr:nvPicPr>
      <xdr:blipFill>
        <a:blip xmlns:r="http://schemas.openxmlformats.org/officeDocument/2006/relationships" r:embed="rId16" cstate="print"/>
        <a:stretch>
          <a:fillRect/>
        </a:stretch>
      </xdr:blipFill>
      <xdr:spPr>
        <a:xfrm>
          <a:off x="17306924" y="67541775"/>
          <a:ext cx="4371975" cy="1917388"/>
        </a:xfrm>
        <a:prstGeom prst="rect">
          <a:avLst/>
        </a:prstGeom>
      </xdr:spPr>
    </xdr:pic>
    <xdr:clientData/>
  </xdr:twoCellAnchor>
  <xdr:twoCellAnchor editAs="oneCell">
    <xdr:from>
      <xdr:col>24</xdr:col>
      <xdr:colOff>34926</xdr:colOff>
      <xdr:row>136</xdr:row>
      <xdr:rowOff>28575</xdr:rowOff>
    </xdr:from>
    <xdr:to>
      <xdr:col>24</xdr:col>
      <xdr:colOff>2208466</xdr:colOff>
      <xdr:row>136</xdr:row>
      <xdr:rowOff>1476375</xdr:rowOff>
    </xdr:to>
    <xdr:pic>
      <xdr:nvPicPr>
        <xdr:cNvPr id="40" name="Picture 39" descr="rugosité 0 (mer).bmp">
          <a:extLst>
            <a:ext uri="{FF2B5EF4-FFF2-40B4-BE49-F238E27FC236}">
              <a16:creationId xmlns:a16="http://schemas.microsoft.com/office/drawing/2014/main" id="{00000000-0008-0000-0800-000028000000}"/>
            </a:ext>
          </a:extLst>
        </xdr:cNvPr>
        <xdr:cNvPicPr>
          <a:picLocks noChangeAspect="1"/>
        </xdr:cNvPicPr>
      </xdr:nvPicPr>
      <xdr:blipFill>
        <a:blip xmlns:r="http://schemas.openxmlformats.org/officeDocument/2006/relationships" r:embed="rId17" cstate="print"/>
        <a:stretch>
          <a:fillRect/>
        </a:stretch>
      </xdr:blipFill>
      <xdr:spPr>
        <a:xfrm>
          <a:off x="15932151" y="32718375"/>
          <a:ext cx="2173540" cy="1447800"/>
        </a:xfrm>
        <a:prstGeom prst="rect">
          <a:avLst/>
        </a:prstGeom>
      </xdr:spPr>
    </xdr:pic>
    <xdr:clientData/>
  </xdr:twoCellAnchor>
  <xdr:twoCellAnchor editAs="oneCell">
    <xdr:from>
      <xdr:col>24</xdr:col>
      <xdr:colOff>19049</xdr:colOff>
      <xdr:row>137</xdr:row>
      <xdr:rowOff>28575</xdr:rowOff>
    </xdr:from>
    <xdr:to>
      <xdr:col>24</xdr:col>
      <xdr:colOff>2200274</xdr:colOff>
      <xdr:row>137</xdr:row>
      <xdr:rowOff>1487327</xdr:rowOff>
    </xdr:to>
    <xdr:pic>
      <xdr:nvPicPr>
        <xdr:cNvPr id="41" name="Picture 40" descr="rugosité II (rase campagne).bmp">
          <a:extLst>
            <a:ext uri="{FF2B5EF4-FFF2-40B4-BE49-F238E27FC236}">
              <a16:creationId xmlns:a16="http://schemas.microsoft.com/office/drawing/2014/main" id="{00000000-0008-0000-0800-000029000000}"/>
            </a:ext>
          </a:extLst>
        </xdr:cNvPr>
        <xdr:cNvPicPr>
          <a:picLocks noChangeAspect="1"/>
        </xdr:cNvPicPr>
      </xdr:nvPicPr>
      <xdr:blipFill>
        <a:blip xmlns:r="http://schemas.openxmlformats.org/officeDocument/2006/relationships" r:embed="rId18" cstate="print"/>
        <a:stretch>
          <a:fillRect/>
        </a:stretch>
      </xdr:blipFill>
      <xdr:spPr>
        <a:xfrm>
          <a:off x="15916274" y="34118550"/>
          <a:ext cx="2181225" cy="1458752"/>
        </a:xfrm>
        <a:prstGeom prst="rect">
          <a:avLst/>
        </a:prstGeom>
      </xdr:spPr>
    </xdr:pic>
    <xdr:clientData/>
  </xdr:twoCellAnchor>
  <xdr:twoCellAnchor editAs="oneCell">
    <xdr:from>
      <xdr:col>24</xdr:col>
      <xdr:colOff>2247900</xdr:colOff>
      <xdr:row>137</xdr:row>
      <xdr:rowOff>38100</xdr:rowOff>
    </xdr:from>
    <xdr:to>
      <xdr:col>24</xdr:col>
      <xdr:colOff>4410076</xdr:colOff>
      <xdr:row>137</xdr:row>
      <xdr:rowOff>1486414</xdr:rowOff>
    </xdr:to>
    <xdr:pic>
      <xdr:nvPicPr>
        <xdr:cNvPr id="42" name="Picture 41" descr="rugosité II (rase campagne, aéroport).bmp">
          <a:extLst>
            <a:ext uri="{FF2B5EF4-FFF2-40B4-BE49-F238E27FC236}">
              <a16:creationId xmlns:a16="http://schemas.microsoft.com/office/drawing/2014/main" id="{00000000-0008-0000-0800-00002A000000}"/>
            </a:ext>
          </a:extLst>
        </xdr:cNvPr>
        <xdr:cNvPicPr>
          <a:picLocks noChangeAspect="1"/>
        </xdr:cNvPicPr>
      </xdr:nvPicPr>
      <xdr:blipFill>
        <a:blip xmlns:r="http://schemas.openxmlformats.org/officeDocument/2006/relationships" r:embed="rId19" cstate="print"/>
        <a:stretch>
          <a:fillRect/>
        </a:stretch>
      </xdr:blipFill>
      <xdr:spPr>
        <a:xfrm>
          <a:off x="18145125" y="34128075"/>
          <a:ext cx="2162176" cy="1448314"/>
        </a:xfrm>
        <a:prstGeom prst="rect">
          <a:avLst/>
        </a:prstGeom>
      </xdr:spPr>
    </xdr:pic>
    <xdr:clientData/>
  </xdr:twoCellAnchor>
  <xdr:twoCellAnchor editAs="oneCell">
    <xdr:from>
      <xdr:col>24</xdr:col>
      <xdr:colOff>38100</xdr:colOff>
      <xdr:row>138</xdr:row>
      <xdr:rowOff>38101</xdr:rowOff>
    </xdr:from>
    <xdr:to>
      <xdr:col>24</xdr:col>
      <xdr:colOff>2209800</xdr:colOff>
      <xdr:row>138</xdr:row>
      <xdr:rowOff>1478530</xdr:rowOff>
    </xdr:to>
    <xdr:pic>
      <xdr:nvPicPr>
        <xdr:cNvPr id="43" name="Picture 42" descr="rugosité IIIa (campagne avec des hayes, bocage..).bmp">
          <a:extLst>
            <a:ext uri="{FF2B5EF4-FFF2-40B4-BE49-F238E27FC236}">
              <a16:creationId xmlns:a16="http://schemas.microsoft.com/office/drawing/2014/main" id="{00000000-0008-0000-0800-00002B000000}"/>
            </a:ext>
          </a:extLst>
        </xdr:cNvPr>
        <xdr:cNvPicPr>
          <a:picLocks noChangeAspect="1"/>
        </xdr:cNvPicPr>
      </xdr:nvPicPr>
      <xdr:blipFill>
        <a:blip xmlns:r="http://schemas.openxmlformats.org/officeDocument/2006/relationships" r:embed="rId20" cstate="print"/>
        <a:stretch>
          <a:fillRect/>
        </a:stretch>
      </xdr:blipFill>
      <xdr:spPr>
        <a:xfrm>
          <a:off x="15935325" y="35775901"/>
          <a:ext cx="2171700" cy="1440429"/>
        </a:xfrm>
        <a:prstGeom prst="rect">
          <a:avLst/>
        </a:prstGeom>
      </xdr:spPr>
    </xdr:pic>
    <xdr:clientData/>
  </xdr:twoCellAnchor>
  <xdr:twoCellAnchor editAs="oneCell">
    <xdr:from>
      <xdr:col>24</xdr:col>
      <xdr:colOff>38100</xdr:colOff>
      <xdr:row>139</xdr:row>
      <xdr:rowOff>25400</xdr:rowOff>
    </xdr:from>
    <xdr:to>
      <xdr:col>24</xdr:col>
      <xdr:colOff>2198758</xdr:colOff>
      <xdr:row>139</xdr:row>
      <xdr:rowOff>1466850</xdr:rowOff>
    </xdr:to>
    <xdr:pic>
      <xdr:nvPicPr>
        <xdr:cNvPr id="44" name="Picture 43" descr="rugosité IIIb (bocage dense).bmp">
          <a:extLst>
            <a:ext uri="{FF2B5EF4-FFF2-40B4-BE49-F238E27FC236}">
              <a16:creationId xmlns:a16="http://schemas.microsoft.com/office/drawing/2014/main" id="{00000000-0008-0000-0800-00002C000000}"/>
            </a:ext>
          </a:extLst>
        </xdr:cNvPr>
        <xdr:cNvPicPr>
          <a:picLocks noChangeAspect="1"/>
        </xdr:cNvPicPr>
      </xdr:nvPicPr>
      <xdr:blipFill>
        <a:blip xmlns:r="http://schemas.openxmlformats.org/officeDocument/2006/relationships" r:embed="rId21" cstate="print"/>
        <a:stretch>
          <a:fillRect/>
        </a:stretch>
      </xdr:blipFill>
      <xdr:spPr>
        <a:xfrm>
          <a:off x="15935325" y="37287200"/>
          <a:ext cx="2160658" cy="1441450"/>
        </a:xfrm>
        <a:prstGeom prst="rect">
          <a:avLst/>
        </a:prstGeom>
      </xdr:spPr>
    </xdr:pic>
    <xdr:clientData/>
  </xdr:twoCellAnchor>
  <xdr:twoCellAnchor editAs="oneCell">
    <xdr:from>
      <xdr:col>24</xdr:col>
      <xdr:colOff>2266951</xdr:colOff>
      <xdr:row>139</xdr:row>
      <xdr:rowOff>31751</xdr:rowOff>
    </xdr:from>
    <xdr:to>
      <xdr:col>24</xdr:col>
      <xdr:colOff>4398921</xdr:colOff>
      <xdr:row>139</xdr:row>
      <xdr:rowOff>1458306</xdr:rowOff>
    </xdr:to>
    <xdr:pic>
      <xdr:nvPicPr>
        <xdr:cNvPr id="45" name="Picture 44" descr="rugosité IIIb (zone industrielle).bmp">
          <a:extLst>
            <a:ext uri="{FF2B5EF4-FFF2-40B4-BE49-F238E27FC236}">
              <a16:creationId xmlns:a16="http://schemas.microsoft.com/office/drawing/2014/main" id="{00000000-0008-0000-0800-00002D000000}"/>
            </a:ext>
          </a:extLst>
        </xdr:cNvPr>
        <xdr:cNvPicPr>
          <a:picLocks noChangeAspect="1"/>
        </xdr:cNvPicPr>
      </xdr:nvPicPr>
      <xdr:blipFill>
        <a:blip xmlns:r="http://schemas.openxmlformats.org/officeDocument/2006/relationships" r:embed="rId22" cstate="print"/>
        <a:stretch>
          <a:fillRect/>
        </a:stretch>
      </xdr:blipFill>
      <xdr:spPr>
        <a:xfrm>
          <a:off x="18164176" y="37293551"/>
          <a:ext cx="2131970" cy="1426555"/>
        </a:xfrm>
        <a:prstGeom prst="rect">
          <a:avLst/>
        </a:prstGeom>
      </xdr:spPr>
    </xdr:pic>
    <xdr:clientData/>
  </xdr:twoCellAnchor>
  <xdr:twoCellAnchor editAs="oneCell">
    <xdr:from>
      <xdr:col>24</xdr:col>
      <xdr:colOff>41275</xdr:colOff>
      <xdr:row>140</xdr:row>
      <xdr:rowOff>53976</xdr:rowOff>
    </xdr:from>
    <xdr:to>
      <xdr:col>24</xdr:col>
      <xdr:colOff>2181224</xdr:colOff>
      <xdr:row>140</xdr:row>
      <xdr:rowOff>1483625</xdr:rowOff>
    </xdr:to>
    <xdr:pic>
      <xdr:nvPicPr>
        <xdr:cNvPr id="46" name="Picture 45" descr="rugosité IV (ville a).bmp">
          <a:extLst>
            <a:ext uri="{FF2B5EF4-FFF2-40B4-BE49-F238E27FC236}">
              <a16:creationId xmlns:a16="http://schemas.microsoft.com/office/drawing/2014/main" id="{00000000-0008-0000-0800-00002E000000}"/>
            </a:ext>
          </a:extLst>
        </xdr:cNvPr>
        <xdr:cNvPicPr>
          <a:picLocks noChangeAspect="1"/>
        </xdr:cNvPicPr>
      </xdr:nvPicPr>
      <xdr:blipFill>
        <a:blip xmlns:r="http://schemas.openxmlformats.org/officeDocument/2006/relationships" r:embed="rId23" cstate="print"/>
        <a:stretch>
          <a:fillRect/>
        </a:stretch>
      </xdr:blipFill>
      <xdr:spPr>
        <a:xfrm>
          <a:off x="15938500" y="38839776"/>
          <a:ext cx="2139949" cy="1429649"/>
        </a:xfrm>
        <a:prstGeom prst="rect">
          <a:avLst/>
        </a:prstGeom>
      </xdr:spPr>
    </xdr:pic>
    <xdr:clientData/>
  </xdr:twoCellAnchor>
  <xdr:twoCellAnchor editAs="oneCell">
    <xdr:from>
      <xdr:col>24</xdr:col>
      <xdr:colOff>2238375</xdr:colOff>
      <xdr:row>140</xdr:row>
      <xdr:rowOff>50800</xdr:rowOff>
    </xdr:from>
    <xdr:to>
      <xdr:col>24</xdr:col>
      <xdr:colOff>4384676</xdr:colOff>
      <xdr:row>140</xdr:row>
      <xdr:rowOff>1478646</xdr:rowOff>
    </xdr:to>
    <xdr:pic>
      <xdr:nvPicPr>
        <xdr:cNvPr id="47" name="Picture 46" descr="rugosité IV (forêt).bmp">
          <a:extLst>
            <a:ext uri="{FF2B5EF4-FFF2-40B4-BE49-F238E27FC236}">
              <a16:creationId xmlns:a16="http://schemas.microsoft.com/office/drawing/2014/main" id="{00000000-0008-0000-0800-00002F000000}"/>
            </a:ext>
          </a:extLst>
        </xdr:cNvPr>
        <xdr:cNvPicPr>
          <a:picLocks noChangeAspect="1"/>
        </xdr:cNvPicPr>
      </xdr:nvPicPr>
      <xdr:blipFill>
        <a:blip xmlns:r="http://schemas.openxmlformats.org/officeDocument/2006/relationships" r:embed="rId24" cstate="print"/>
        <a:stretch>
          <a:fillRect/>
        </a:stretch>
      </xdr:blipFill>
      <xdr:spPr>
        <a:xfrm>
          <a:off x="18135600" y="38836600"/>
          <a:ext cx="2146301" cy="1427846"/>
        </a:xfrm>
        <a:prstGeom prst="rect">
          <a:avLst/>
        </a:prstGeom>
      </xdr:spPr>
    </xdr:pic>
    <xdr:clientData/>
  </xdr:twoCellAnchor>
  <xdr:twoCellAnchor editAs="oneCell">
    <xdr:from>
      <xdr:col>24</xdr:col>
      <xdr:colOff>35900</xdr:colOff>
      <xdr:row>168</xdr:row>
      <xdr:rowOff>47626</xdr:rowOff>
    </xdr:from>
    <xdr:to>
      <xdr:col>24</xdr:col>
      <xdr:colOff>4364104</xdr:colOff>
      <xdr:row>168</xdr:row>
      <xdr:rowOff>1638300</xdr:rowOff>
    </xdr:to>
    <xdr:pic>
      <xdr:nvPicPr>
        <xdr:cNvPr id="33" name="Picture 32" descr="cliffs and escarpments.bmp">
          <a:extLst>
            <a:ext uri="{FF2B5EF4-FFF2-40B4-BE49-F238E27FC236}">
              <a16:creationId xmlns:a16="http://schemas.microsoft.com/office/drawing/2014/main" id="{00000000-0008-0000-0800-000021000000}"/>
            </a:ext>
          </a:extLst>
        </xdr:cNvPr>
        <xdr:cNvPicPr>
          <a:picLocks noChangeAspect="1"/>
        </xdr:cNvPicPr>
      </xdr:nvPicPr>
      <xdr:blipFill>
        <a:blip xmlns:r="http://schemas.openxmlformats.org/officeDocument/2006/relationships" r:embed="rId25" cstate="print"/>
        <a:stretch>
          <a:fillRect/>
        </a:stretch>
      </xdr:blipFill>
      <xdr:spPr>
        <a:xfrm>
          <a:off x="15856925" y="85029676"/>
          <a:ext cx="4328204" cy="1590674"/>
        </a:xfrm>
        <a:prstGeom prst="rect">
          <a:avLst/>
        </a:prstGeom>
      </xdr:spPr>
    </xdr:pic>
    <xdr:clientData/>
  </xdr:twoCellAnchor>
  <xdr:twoCellAnchor editAs="oneCell">
    <xdr:from>
      <xdr:col>24</xdr:col>
      <xdr:colOff>22464</xdr:colOff>
      <xdr:row>169</xdr:row>
      <xdr:rowOff>9525</xdr:rowOff>
    </xdr:from>
    <xdr:to>
      <xdr:col>24</xdr:col>
      <xdr:colOff>4394508</xdr:colOff>
      <xdr:row>169</xdr:row>
      <xdr:rowOff>1609725</xdr:rowOff>
    </xdr:to>
    <xdr:pic>
      <xdr:nvPicPr>
        <xdr:cNvPr id="36" name="Picture 35" descr="hills and ridges.bmp">
          <a:extLst>
            <a:ext uri="{FF2B5EF4-FFF2-40B4-BE49-F238E27FC236}">
              <a16:creationId xmlns:a16="http://schemas.microsoft.com/office/drawing/2014/main" id="{00000000-0008-0000-0800-000024000000}"/>
            </a:ext>
          </a:extLst>
        </xdr:cNvPr>
        <xdr:cNvPicPr>
          <a:picLocks noChangeAspect="1"/>
        </xdr:cNvPicPr>
      </xdr:nvPicPr>
      <xdr:blipFill>
        <a:blip xmlns:r="http://schemas.openxmlformats.org/officeDocument/2006/relationships" r:embed="rId26" cstate="print"/>
        <a:stretch>
          <a:fillRect/>
        </a:stretch>
      </xdr:blipFill>
      <xdr:spPr>
        <a:xfrm>
          <a:off x="15843489" y="86706075"/>
          <a:ext cx="4372044" cy="1600200"/>
        </a:xfrm>
        <a:prstGeom prst="rect">
          <a:avLst/>
        </a:prstGeom>
      </xdr:spPr>
    </xdr:pic>
    <xdr:clientData/>
  </xdr:twoCellAnchor>
  <xdr:twoCellAnchor editAs="oneCell">
    <xdr:from>
      <xdr:col>24</xdr:col>
      <xdr:colOff>31989</xdr:colOff>
      <xdr:row>170</xdr:row>
      <xdr:rowOff>28575</xdr:rowOff>
    </xdr:from>
    <xdr:to>
      <xdr:col>24</xdr:col>
      <xdr:colOff>4404033</xdr:colOff>
      <xdr:row>170</xdr:row>
      <xdr:rowOff>1628775</xdr:rowOff>
    </xdr:to>
    <xdr:pic>
      <xdr:nvPicPr>
        <xdr:cNvPr id="37" name="Picture 36" descr="hills and ridges.bmp">
          <a:extLst>
            <a:ext uri="{FF2B5EF4-FFF2-40B4-BE49-F238E27FC236}">
              <a16:creationId xmlns:a16="http://schemas.microsoft.com/office/drawing/2014/main" id="{00000000-0008-0000-0800-000025000000}"/>
            </a:ext>
          </a:extLst>
        </xdr:cNvPr>
        <xdr:cNvPicPr>
          <a:picLocks noChangeAspect="1"/>
        </xdr:cNvPicPr>
      </xdr:nvPicPr>
      <xdr:blipFill>
        <a:blip xmlns:r="http://schemas.openxmlformats.org/officeDocument/2006/relationships" r:embed="rId26" cstate="print"/>
        <a:stretch>
          <a:fillRect/>
        </a:stretch>
      </xdr:blipFill>
      <xdr:spPr>
        <a:xfrm>
          <a:off x="15853014" y="88439625"/>
          <a:ext cx="4372044" cy="1600200"/>
        </a:xfrm>
        <a:prstGeom prst="rect">
          <a:avLst/>
        </a:prstGeom>
      </xdr:spPr>
    </xdr:pic>
    <xdr:clientData/>
  </xdr:twoCellAnchor>
  <xdr:twoCellAnchor editAs="oneCell">
    <xdr:from>
      <xdr:col>15</xdr:col>
      <xdr:colOff>295275</xdr:colOff>
      <xdr:row>8</xdr:row>
      <xdr:rowOff>76200</xdr:rowOff>
    </xdr:from>
    <xdr:to>
      <xdr:col>18</xdr:col>
      <xdr:colOff>304800</xdr:colOff>
      <xdr:row>12</xdr:row>
      <xdr:rowOff>76200</xdr:rowOff>
    </xdr:to>
    <xdr:pic>
      <xdr:nvPicPr>
        <xdr:cNvPr id="34" name="Picture 33" descr="T:\1-NEW SBS LOGO\NEW\COMM. FILES\companylogo-SAPA-BS_Q.jpg">
          <a:extLst>
            <a:ext uri="{FF2B5EF4-FFF2-40B4-BE49-F238E27FC236}">
              <a16:creationId xmlns:a16="http://schemas.microsoft.com/office/drawing/2014/main" id="{00000000-0008-0000-0800-000022000000}"/>
            </a:ext>
          </a:extLst>
        </xdr:cNvPr>
        <xdr:cNvPicPr/>
      </xdr:nvPicPr>
      <xdr:blipFill>
        <a:blip xmlns:r="http://schemas.openxmlformats.org/officeDocument/2006/relationships" r:embed="rId27" cstate="print"/>
        <a:srcRect/>
        <a:stretch>
          <a:fillRect/>
        </a:stretch>
      </xdr:blipFill>
      <xdr:spPr bwMode="auto">
        <a:xfrm>
          <a:off x="9163050" y="1524000"/>
          <a:ext cx="1981200" cy="762000"/>
        </a:xfrm>
        <a:prstGeom prst="rect">
          <a:avLst/>
        </a:prstGeom>
        <a:noFill/>
        <a:ln w="9525">
          <a:noFill/>
          <a:miter lim="800000"/>
          <a:headEnd/>
          <a:tailEnd/>
        </a:ln>
      </xdr:spPr>
    </xdr:pic>
    <xdr:clientData/>
  </xdr:twoCellAnchor>
  <xdr:twoCellAnchor editAs="oneCell">
    <xdr:from>
      <xdr:col>24</xdr:col>
      <xdr:colOff>47623</xdr:colOff>
      <xdr:row>141</xdr:row>
      <xdr:rowOff>29577</xdr:rowOff>
    </xdr:from>
    <xdr:to>
      <xdr:col>24</xdr:col>
      <xdr:colOff>2200274</xdr:colOff>
      <xdr:row>141</xdr:row>
      <xdr:rowOff>1521857</xdr:rowOff>
    </xdr:to>
    <xdr:pic>
      <xdr:nvPicPr>
        <xdr:cNvPr id="48" name="Picture 47" descr="zone 0.bmp">
          <a:extLst>
            <a:ext uri="{FF2B5EF4-FFF2-40B4-BE49-F238E27FC236}">
              <a16:creationId xmlns:a16="http://schemas.microsoft.com/office/drawing/2014/main" id="{00000000-0008-0000-0800-000030000000}"/>
            </a:ext>
          </a:extLst>
        </xdr:cNvPr>
        <xdr:cNvPicPr>
          <a:picLocks noChangeAspect="1"/>
        </xdr:cNvPicPr>
      </xdr:nvPicPr>
      <xdr:blipFill>
        <a:blip xmlns:r="http://schemas.openxmlformats.org/officeDocument/2006/relationships" r:embed="rId1" cstate="print"/>
        <a:stretch>
          <a:fillRect/>
        </a:stretch>
      </xdr:blipFill>
      <xdr:spPr>
        <a:xfrm>
          <a:off x="15868648" y="24585027"/>
          <a:ext cx="2152651" cy="1625630"/>
        </a:xfrm>
        <a:prstGeom prst="rect">
          <a:avLst/>
        </a:prstGeom>
        <a:ln>
          <a:noFill/>
        </a:ln>
      </xdr:spPr>
    </xdr:pic>
    <xdr:clientData/>
  </xdr:twoCellAnchor>
  <xdr:twoCellAnchor editAs="oneCell">
    <xdr:from>
      <xdr:col>24</xdr:col>
      <xdr:colOff>41274</xdr:colOff>
      <xdr:row>142</xdr:row>
      <xdr:rowOff>12700</xdr:rowOff>
    </xdr:from>
    <xdr:to>
      <xdr:col>24</xdr:col>
      <xdr:colOff>2133600</xdr:colOff>
      <xdr:row>142</xdr:row>
      <xdr:rowOff>1523977</xdr:rowOff>
    </xdr:to>
    <xdr:pic>
      <xdr:nvPicPr>
        <xdr:cNvPr id="49" name="Picture 48" descr="zone 2.bmp">
          <a:extLst>
            <a:ext uri="{FF2B5EF4-FFF2-40B4-BE49-F238E27FC236}">
              <a16:creationId xmlns:a16="http://schemas.microsoft.com/office/drawing/2014/main" id="{00000000-0008-0000-0800-000031000000}"/>
            </a:ext>
          </a:extLst>
        </xdr:cNvPr>
        <xdr:cNvPicPr>
          <a:picLocks noChangeAspect="1"/>
        </xdr:cNvPicPr>
      </xdr:nvPicPr>
      <xdr:blipFill>
        <a:blip xmlns:r="http://schemas.openxmlformats.org/officeDocument/2006/relationships" r:embed="rId3" cstate="print"/>
        <a:stretch>
          <a:fillRect/>
        </a:stretch>
      </xdr:blipFill>
      <xdr:spPr>
        <a:xfrm>
          <a:off x="15862299" y="28130500"/>
          <a:ext cx="2092326" cy="1749402"/>
        </a:xfrm>
        <a:prstGeom prst="rect">
          <a:avLst/>
        </a:prstGeom>
      </xdr:spPr>
    </xdr:pic>
    <xdr:clientData/>
  </xdr:twoCellAnchor>
  <xdr:twoCellAnchor editAs="oneCell">
    <xdr:from>
      <xdr:col>24</xdr:col>
      <xdr:colOff>41274</xdr:colOff>
      <xdr:row>143</xdr:row>
      <xdr:rowOff>32420</xdr:rowOff>
    </xdr:from>
    <xdr:to>
      <xdr:col>24</xdr:col>
      <xdr:colOff>2191574</xdr:colOff>
      <xdr:row>143</xdr:row>
      <xdr:rowOff>1523999</xdr:rowOff>
    </xdr:to>
    <xdr:pic>
      <xdr:nvPicPr>
        <xdr:cNvPr id="50" name="Picture 49" descr="zone 3.bmp">
          <a:extLst>
            <a:ext uri="{FF2B5EF4-FFF2-40B4-BE49-F238E27FC236}">
              <a16:creationId xmlns:a16="http://schemas.microsoft.com/office/drawing/2014/main" id="{00000000-0008-0000-0800-000032000000}"/>
            </a:ext>
          </a:extLst>
        </xdr:cNvPr>
        <xdr:cNvPicPr>
          <a:picLocks noChangeAspect="1"/>
        </xdr:cNvPicPr>
      </xdr:nvPicPr>
      <xdr:blipFill>
        <a:blip xmlns:r="http://schemas.openxmlformats.org/officeDocument/2006/relationships" r:embed="rId4" cstate="print"/>
        <a:stretch>
          <a:fillRect/>
        </a:stretch>
      </xdr:blipFill>
      <xdr:spPr>
        <a:xfrm>
          <a:off x="15862299" y="29931395"/>
          <a:ext cx="2150300" cy="1720179"/>
        </a:xfrm>
        <a:prstGeom prst="rect">
          <a:avLst/>
        </a:prstGeom>
      </xdr:spPr>
    </xdr:pic>
    <xdr:clientData/>
  </xdr:twoCellAnchor>
  <xdr:twoCellAnchor editAs="oneCell">
    <xdr:from>
      <xdr:col>24</xdr:col>
      <xdr:colOff>676275</xdr:colOff>
      <xdr:row>154</xdr:row>
      <xdr:rowOff>4200525</xdr:rowOff>
    </xdr:from>
    <xdr:to>
      <xdr:col>24</xdr:col>
      <xdr:colOff>3257550</xdr:colOff>
      <xdr:row>154</xdr:row>
      <xdr:rowOff>4781549</xdr:rowOff>
    </xdr:to>
    <xdr:pic>
      <xdr:nvPicPr>
        <xdr:cNvPr id="53" name="Picture 52">
          <a:extLst>
            <a:ext uri="{FF2B5EF4-FFF2-40B4-BE49-F238E27FC236}">
              <a16:creationId xmlns:a16="http://schemas.microsoft.com/office/drawing/2014/main" id="{00000000-0008-0000-0800-000035000000}"/>
            </a:ext>
          </a:extLst>
        </xdr:cNvPr>
        <xdr:cNvPicPr/>
      </xdr:nvPicPr>
      <xdr:blipFill>
        <a:blip xmlns:r="http://schemas.openxmlformats.org/officeDocument/2006/relationships" r:embed="rId28" cstate="print"/>
        <a:srcRect/>
        <a:stretch>
          <a:fillRect/>
        </a:stretch>
      </xdr:blipFill>
      <xdr:spPr bwMode="auto">
        <a:xfrm>
          <a:off x="16497300" y="67846575"/>
          <a:ext cx="2581275" cy="581024"/>
        </a:xfrm>
        <a:prstGeom prst="rect">
          <a:avLst/>
        </a:prstGeom>
        <a:noFill/>
        <a:ln w="9525">
          <a:noFill/>
          <a:miter lim="800000"/>
          <a:headEnd/>
          <a:tailEnd/>
        </a:ln>
      </xdr:spPr>
    </xdr:pic>
    <xdr:clientData/>
  </xdr:twoCellAnchor>
  <xdr:twoCellAnchor editAs="oneCell">
    <xdr:from>
      <xdr:col>24</xdr:col>
      <xdr:colOff>571501</xdr:colOff>
      <xdr:row>154</xdr:row>
      <xdr:rowOff>65308</xdr:rowOff>
    </xdr:from>
    <xdr:to>
      <xdr:col>24</xdr:col>
      <xdr:colOff>3259031</xdr:colOff>
      <xdr:row>154</xdr:row>
      <xdr:rowOff>4143376</xdr:rowOff>
    </xdr:to>
    <xdr:pic>
      <xdr:nvPicPr>
        <xdr:cNvPr id="51" name="Picture 50" descr="wind NL.jpg">
          <a:extLst>
            <a:ext uri="{FF2B5EF4-FFF2-40B4-BE49-F238E27FC236}">
              <a16:creationId xmlns:a16="http://schemas.microsoft.com/office/drawing/2014/main" id="{00000000-0008-0000-0800-000033000000}"/>
            </a:ext>
          </a:extLst>
        </xdr:cNvPr>
        <xdr:cNvPicPr>
          <a:picLocks noChangeAspect="1"/>
        </xdr:cNvPicPr>
      </xdr:nvPicPr>
      <xdr:blipFill>
        <a:blip xmlns:r="http://schemas.openxmlformats.org/officeDocument/2006/relationships" r:embed="rId29" cstate="print"/>
        <a:stretch>
          <a:fillRect/>
        </a:stretch>
      </xdr:blipFill>
      <xdr:spPr>
        <a:xfrm>
          <a:off x="16392526" y="63711358"/>
          <a:ext cx="2687530" cy="407806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0</xdr:colOff>
          <xdr:row>46</xdr:row>
          <xdr:rowOff>180975</xdr:rowOff>
        </xdr:from>
        <xdr:to>
          <xdr:col>19</xdr:col>
          <xdr:colOff>9525</xdr:colOff>
          <xdr:row>58</xdr:row>
          <xdr:rowOff>9525</xdr:rowOff>
        </xdr:to>
        <xdr:pic>
          <xdr:nvPicPr>
            <xdr:cNvPr id="2052" name="Picture 4">
              <a:extLst>
                <a:ext uri="{FF2B5EF4-FFF2-40B4-BE49-F238E27FC236}">
                  <a16:creationId xmlns:a16="http://schemas.microsoft.com/office/drawing/2014/main" id="{00000000-0008-0000-0800-000004080000}"/>
                </a:ext>
              </a:extLst>
            </xdr:cNvPr>
            <xdr:cNvPicPr>
              <a:picLocks noChangeAspect="1" noChangeArrowheads="1"/>
              <a:extLst>
                <a:ext uri="{84589F7E-364E-4C9E-8A38-B11213B215E9}">
                  <a14:cameraTool cellRange="Ruwheidsfoto" spid="_x0000_s212246"/>
                </a:ext>
              </a:extLst>
            </xdr:cNvPicPr>
          </xdr:nvPicPr>
          <xdr:blipFill>
            <a:blip xmlns:r="http://schemas.openxmlformats.org/officeDocument/2006/relationships" r:embed="rId30"/>
            <a:srcRect/>
            <a:stretch>
              <a:fillRect/>
            </a:stretch>
          </xdr:blipFill>
          <xdr:spPr bwMode="auto">
            <a:xfrm>
              <a:off x="6238875" y="8867775"/>
              <a:ext cx="5267325" cy="2114550"/>
            </a:xfrm>
            <a:prstGeom prst="rect">
              <a:avLst/>
            </a:prstGeom>
            <a:solidFill>
              <a:srgbClr val="FFFFFF" mc:Ignorable="a14" a14:legacySpreadsheetColorIndex="65"/>
            </a:solidFill>
            <a:ln>
              <a:noFill/>
            </a:ln>
            <a:extLst>
              <a:ext uri="{91240B29-F687-4F45-9708-019B960494DF}">
                <a14:hiddenLine w="317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xdr:row>
          <xdr:rowOff>0</xdr:rowOff>
        </xdr:from>
        <xdr:to>
          <xdr:col>19</xdr:col>
          <xdr:colOff>9525</xdr:colOff>
          <xdr:row>16</xdr:row>
          <xdr:rowOff>28575</xdr:rowOff>
        </xdr:to>
        <xdr:pic>
          <xdr:nvPicPr>
            <xdr:cNvPr id="2055" name="Picture 7">
              <a:extLst>
                <a:ext uri="{FF2B5EF4-FFF2-40B4-BE49-F238E27FC236}">
                  <a16:creationId xmlns:a16="http://schemas.microsoft.com/office/drawing/2014/main" id="{00000000-0008-0000-0800-000007080000}"/>
                </a:ext>
              </a:extLst>
            </xdr:cNvPr>
            <xdr:cNvPicPr>
              <a:picLocks noChangeAspect="1" noChangeArrowheads="1"/>
              <a:extLst>
                <a:ext uri="{84589F7E-364E-4C9E-8A38-B11213B215E9}">
                  <a14:cameraTool cellRange="Gebouwtype" spid="_x0000_s212247"/>
                </a:ext>
              </a:extLst>
            </xdr:cNvPicPr>
          </xdr:nvPicPr>
          <xdr:blipFill>
            <a:blip xmlns:r="http://schemas.openxmlformats.org/officeDocument/2006/relationships" r:embed="rId31"/>
            <a:srcRect/>
            <a:stretch>
              <a:fillRect/>
            </a:stretch>
          </xdr:blipFill>
          <xdr:spPr bwMode="auto">
            <a:xfrm>
              <a:off x="6238875" y="1066800"/>
              <a:ext cx="5267325" cy="1933575"/>
            </a:xfrm>
            <a:prstGeom prst="rect">
              <a:avLst/>
            </a:prstGeom>
            <a:solidFill>
              <a:srgbClr val="FFFFFF" mc:Ignorable="a14" a14:legacySpreadsheetColorIndex="65">
                <a:alpha val="0"/>
              </a:srgbClr>
            </a:solidFill>
            <a:ln>
              <a:noFill/>
            </a:ln>
            <a:extLst>
              <a:ext uri="{91240B29-F687-4F45-9708-019B960494DF}">
                <a14:hiddenLine w="6350">
                  <a:solidFill>
                    <a:srgbClr val="99CCFF" mc:Ignorable="a14" a14:legacySpreadsheetColorIndex="4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16</xdr:row>
          <xdr:rowOff>9525</xdr:rowOff>
        </xdr:from>
        <xdr:to>
          <xdr:col>19</xdr:col>
          <xdr:colOff>85725</xdr:colOff>
          <xdr:row>26</xdr:row>
          <xdr:rowOff>19050</xdr:rowOff>
        </xdr:to>
        <xdr:pic>
          <xdr:nvPicPr>
            <xdr:cNvPr id="2061" name="Picture 13">
              <a:extLst>
                <a:ext uri="{FF2B5EF4-FFF2-40B4-BE49-F238E27FC236}">
                  <a16:creationId xmlns:a16="http://schemas.microsoft.com/office/drawing/2014/main" id="{00000000-0008-0000-0800-00000D080000}"/>
                </a:ext>
              </a:extLst>
            </xdr:cNvPr>
            <xdr:cNvPicPr>
              <a:picLocks noChangeAspect="1" noChangeArrowheads="1"/>
              <a:extLst>
                <a:ext uri="{84589F7E-364E-4C9E-8A38-B11213B215E9}">
                  <a14:cameraTool cellRange="Hdis" spid="_x0000_s212248"/>
                </a:ext>
              </a:extLst>
            </xdr:cNvPicPr>
          </xdr:nvPicPr>
          <xdr:blipFill>
            <a:blip xmlns:r="http://schemas.openxmlformats.org/officeDocument/2006/relationships" r:embed="rId32"/>
            <a:srcRect/>
            <a:stretch>
              <a:fillRect/>
            </a:stretch>
          </xdr:blipFill>
          <xdr:spPr bwMode="auto">
            <a:xfrm>
              <a:off x="6305550" y="2981325"/>
              <a:ext cx="5276850" cy="19145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99CCFF" mc:Ignorable="a14" a14:legacySpreadsheetColorIndex="4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26</xdr:row>
          <xdr:rowOff>0</xdr:rowOff>
        </xdr:from>
        <xdr:to>
          <xdr:col>19</xdr:col>
          <xdr:colOff>9525</xdr:colOff>
          <xdr:row>36</xdr:row>
          <xdr:rowOff>28575</xdr:rowOff>
        </xdr:to>
        <xdr:pic>
          <xdr:nvPicPr>
            <xdr:cNvPr id="2070" name="Picture 22">
              <a:extLst>
                <a:ext uri="{FF2B5EF4-FFF2-40B4-BE49-F238E27FC236}">
                  <a16:creationId xmlns:a16="http://schemas.microsoft.com/office/drawing/2014/main" id="{00000000-0008-0000-0800-000016080000}"/>
                </a:ext>
              </a:extLst>
            </xdr:cNvPr>
            <xdr:cNvPicPr>
              <a:picLocks noChangeAspect="1" noChangeArrowheads="1"/>
              <a:extLst>
                <a:ext uri="{84589F7E-364E-4C9E-8A38-B11213B215E9}">
                  <a14:cameraTool cellRange="Stadsgebouw" spid="_x0000_s212249"/>
                </a:ext>
              </a:extLst>
            </xdr:cNvPicPr>
          </xdr:nvPicPr>
          <xdr:blipFill>
            <a:blip xmlns:r="http://schemas.openxmlformats.org/officeDocument/2006/relationships" r:embed="rId33"/>
            <a:srcRect/>
            <a:stretch>
              <a:fillRect/>
            </a:stretch>
          </xdr:blipFill>
          <xdr:spPr bwMode="auto">
            <a:xfrm>
              <a:off x="6238875" y="4876800"/>
              <a:ext cx="5267325" cy="1933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99CCFF" mc:Ignorable="a14" a14:legacySpreadsheetColorIndex="4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57</xdr:row>
          <xdr:rowOff>180975</xdr:rowOff>
        </xdr:from>
        <xdr:to>
          <xdr:col>19</xdr:col>
          <xdr:colOff>9525</xdr:colOff>
          <xdr:row>68</xdr:row>
          <xdr:rowOff>28575</xdr:rowOff>
        </xdr:to>
        <xdr:pic>
          <xdr:nvPicPr>
            <xdr:cNvPr id="2076" name="Picture 28">
              <a:extLst>
                <a:ext uri="{FF2B5EF4-FFF2-40B4-BE49-F238E27FC236}">
                  <a16:creationId xmlns:a16="http://schemas.microsoft.com/office/drawing/2014/main" id="{00000000-0008-0000-0800-00001C080000}"/>
                </a:ext>
              </a:extLst>
            </xdr:cNvPr>
            <xdr:cNvPicPr>
              <a:picLocks noChangeAspect="1" noChangeArrowheads="1"/>
              <a:extLst>
                <a:ext uri="{84589F7E-364E-4C9E-8A38-B11213B215E9}">
                  <a14:cameraTool cellRange="hellingstype" spid="_x0000_s212250"/>
                </a:ext>
              </a:extLst>
            </xdr:cNvPicPr>
          </xdr:nvPicPr>
          <xdr:blipFill>
            <a:blip xmlns:r="http://schemas.openxmlformats.org/officeDocument/2006/relationships" r:embed="rId34"/>
            <a:srcRect/>
            <a:stretch>
              <a:fillRect/>
            </a:stretch>
          </xdr:blipFill>
          <xdr:spPr bwMode="auto">
            <a:xfrm>
              <a:off x="6238875" y="10963275"/>
              <a:ext cx="5267325" cy="1943100"/>
            </a:xfrm>
            <a:prstGeom prst="rect">
              <a:avLst/>
            </a:prstGeom>
            <a:solidFill>
              <a:srgbClr val="FFFFFF" mc:Ignorable="a14" a14:legacySpreadsheetColorIndex="65"/>
            </a:solidFill>
            <a:ln>
              <a:noFill/>
            </a:ln>
            <a:extLst>
              <a:ext uri="{91240B29-F687-4F45-9708-019B960494DF}">
                <a14:hiddenLine w="6350">
                  <a:solidFill>
                    <a:srgbClr val="99CCFF" mc:Ignorable="a14" a14:legacySpreadsheetColorIndex="4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68</xdr:row>
          <xdr:rowOff>0</xdr:rowOff>
        </xdr:from>
        <xdr:to>
          <xdr:col>19</xdr:col>
          <xdr:colOff>9525</xdr:colOff>
          <xdr:row>95</xdr:row>
          <xdr:rowOff>133350</xdr:rowOff>
        </xdr:to>
        <xdr:pic>
          <xdr:nvPicPr>
            <xdr:cNvPr id="2082" name="Picture 34">
              <a:extLst>
                <a:ext uri="{FF2B5EF4-FFF2-40B4-BE49-F238E27FC236}">
                  <a16:creationId xmlns:a16="http://schemas.microsoft.com/office/drawing/2014/main" id="{00000000-0008-0000-0800-000022080000}"/>
                </a:ext>
              </a:extLst>
            </xdr:cNvPr>
            <xdr:cNvPicPr>
              <a:picLocks noChangeAspect="1" noChangeArrowheads="1"/>
              <a:extLst>
                <a:ext uri="{84589F7E-364E-4C9E-8A38-B11213B215E9}">
                  <a14:cameraTool cellRange="landkeuze" spid="_x0000_s212251"/>
                </a:ext>
              </a:extLst>
            </xdr:cNvPicPr>
          </xdr:nvPicPr>
          <xdr:blipFill>
            <a:blip xmlns:r="http://schemas.openxmlformats.org/officeDocument/2006/relationships" r:embed="rId35"/>
            <a:srcRect/>
            <a:stretch>
              <a:fillRect/>
            </a:stretch>
          </xdr:blipFill>
          <xdr:spPr bwMode="auto">
            <a:xfrm>
              <a:off x="6238875" y="12877800"/>
              <a:ext cx="5267325" cy="5143500"/>
            </a:xfrm>
            <a:prstGeom prst="rect">
              <a:avLst/>
            </a:prstGeom>
            <a:solidFill>
              <a:srgbClr val="FFFFFF" mc:Ignorable="a14" a14:legacySpreadsheetColorIndex="65"/>
            </a:solidFill>
            <a:ln>
              <a:noFill/>
            </a:ln>
            <a:extLst>
              <a:ext uri="{91240B29-F687-4F45-9708-019B960494DF}">
                <a14:hiddenLine w="6350">
                  <a:solidFill>
                    <a:srgbClr val="99CCFF" mc:Ignorable="a14" a14:legacySpreadsheetColorIndex="4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35</xdr:row>
          <xdr:rowOff>180975</xdr:rowOff>
        </xdr:from>
        <xdr:to>
          <xdr:col>19</xdr:col>
          <xdr:colOff>9525</xdr:colOff>
          <xdr:row>47</xdr:row>
          <xdr:rowOff>9525</xdr:rowOff>
        </xdr:to>
        <xdr:pic>
          <xdr:nvPicPr>
            <xdr:cNvPr id="2098" name="Picture 50">
              <a:extLst>
                <a:ext uri="{FF2B5EF4-FFF2-40B4-BE49-F238E27FC236}">
                  <a16:creationId xmlns:a16="http://schemas.microsoft.com/office/drawing/2014/main" id="{00000000-0008-0000-0800-000032080000}"/>
                </a:ext>
              </a:extLst>
            </xdr:cNvPr>
            <xdr:cNvPicPr>
              <a:picLocks noChangeAspect="1" noChangeArrowheads="1"/>
              <a:extLst>
                <a:ext uri="{84589F7E-364E-4C9E-8A38-B11213B215E9}">
                  <a14:cameraTool cellRange="nabijheidhooggebouw" spid="_x0000_s212252"/>
                </a:ext>
              </a:extLst>
            </xdr:cNvPicPr>
          </xdr:nvPicPr>
          <xdr:blipFill>
            <a:blip xmlns:r="http://schemas.openxmlformats.org/officeDocument/2006/relationships" r:embed="rId36"/>
            <a:srcRect/>
            <a:stretch>
              <a:fillRect/>
            </a:stretch>
          </xdr:blipFill>
          <xdr:spPr bwMode="auto">
            <a:xfrm>
              <a:off x="6238875" y="6772275"/>
              <a:ext cx="5267325" cy="2114550"/>
            </a:xfrm>
            <a:prstGeom prst="rect">
              <a:avLst/>
            </a:prstGeom>
            <a:solidFill>
              <a:srgbClr val="FFFFFF" mc:Ignorable="a14" a14:legacySpreadsheetColorIndex="65"/>
            </a:solidFill>
            <a:ln>
              <a:noFill/>
            </a:ln>
            <a:extLst>
              <a:ext uri="{91240B29-F687-4F45-9708-019B960494DF}">
                <a14:hiddenLine w="6350">
                  <a:solidFill>
                    <a:srgbClr val="99CCFF" mc:Ignorable="a14" a14:legacySpreadsheetColorIndex="44"/>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11</xdr:col>
      <xdr:colOff>0</xdr:colOff>
      <xdr:row>100</xdr:row>
      <xdr:rowOff>0</xdr:rowOff>
    </xdr:from>
    <xdr:to>
      <xdr:col>14</xdr:col>
      <xdr:colOff>200025</xdr:colOff>
      <xdr:row>108</xdr:row>
      <xdr:rowOff>182997</xdr:rowOff>
    </xdr:to>
    <xdr:pic>
      <xdr:nvPicPr>
        <xdr:cNvPr id="14" name="Picture 14">
          <a:extLst>
            <a:ext uri="{FF2B5EF4-FFF2-40B4-BE49-F238E27FC236}">
              <a16:creationId xmlns:a16="http://schemas.microsoft.com/office/drawing/2014/main" id="{00000000-0008-0000-3300-00000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238875" y="18011775"/>
          <a:ext cx="2171700" cy="1773672"/>
        </a:xfrm>
        <a:prstGeom prst="rect">
          <a:avLst/>
        </a:prstGeom>
        <a:noFill/>
      </xdr:spPr>
    </xdr:pic>
    <xdr:clientData/>
  </xdr:twoCellAnchor>
  <xdr:twoCellAnchor editAs="oneCell">
    <xdr:from>
      <xdr:col>11</xdr:col>
      <xdr:colOff>1</xdr:colOff>
      <xdr:row>65</xdr:row>
      <xdr:rowOff>1</xdr:rowOff>
    </xdr:from>
    <xdr:to>
      <xdr:col>14</xdr:col>
      <xdr:colOff>639086</xdr:colOff>
      <xdr:row>79</xdr:row>
      <xdr:rowOff>0</xdr:rowOff>
    </xdr:to>
    <xdr:pic>
      <xdr:nvPicPr>
        <xdr:cNvPr id="10" name="Picture 11">
          <a:extLst>
            <a:ext uri="{FF2B5EF4-FFF2-40B4-BE49-F238E27FC236}">
              <a16:creationId xmlns:a16="http://schemas.microsoft.com/office/drawing/2014/main" id="{00000000-0008-0000-33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38876" y="12182476"/>
          <a:ext cx="2610760" cy="2657474"/>
        </a:xfrm>
        <a:prstGeom prst="rect">
          <a:avLst/>
        </a:prstGeom>
        <a:noFill/>
      </xdr:spPr>
    </xdr:pic>
    <xdr:clientData/>
  </xdr:twoCellAnchor>
  <xdr:twoCellAnchor editAs="oneCell">
    <xdr:from>
      <xdr:col>11</xdr:col>
      <xdr:colOff>0</xdr:colOff>
      <xdr:row>81</xdr:row>
      <xdr:rowOff>0</xdr:rowOff>
    </xdr:from>
    <xdr:to>
      <xdr:col>18</xdr:col>
      <xdr:colOff>10417</xdr:colOff>
      <xdr:row>94</xdr:row>
      <xdr:rowOff>76200</xdr:rowOff>
    </xdr:to>
    <xdr:pic>
      <xdr:nvPicPr>
        <xdr:cNvPr id="13" name="Picture 12">
          <a:extLst>
            <a:ext uri="{FF2B5EF4-FFF2-40B4-BE49-F238E27FC236}">
              <a16:creationId xmlns:a16="http://schemas.microsoft.com/office/drawing/2014/main" id="{00000000-0008-0000-3300-00000D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6238875" y="15230475"/>
          <a:ext cx="4610992" cy="2647950"/>
        </a:xfrm>
        <a:prstGeom prst="rect">
          <a:avLst/>
        </a:prstGeom>
        <a:noFill/>
      </xdr:spPr>
    </xdr:pic>
    <xdr:clientData/>
  </xdr:twoCellAnchor>
  <mc:AlternateContent xmlns:mc="http://schemas.openxmlformats.org/markup-compatibility/2006">
    <mc:Choice xmlns:a14="http://schemas.microsoft.com/office/drawing/2010/main" Requires="a14">
      <xdr:twoCellAnchor editAs="absolute">
        <xdr:from>
          <xdr:col>2</xdr:col>
          <xdr:colOff>0</xdr:colOff>
          <xdr:row>12</xdr:row>
          <xdr:rowOff>0</xdr:rowOff>
        </xdr:from>
        <xdr:to>
          <xdr:col>3</xdr:col>
          <xdr:colOff>220980</xdr:colOff>
          <xdr:row>13</xdr:row>
          <xdr:rowOff>0</xdr:rowOff>
        </xdr:to>
        <xdr:sp macro="" textlink="">
          <xdr:nvSpPr>
            <xdr:cNvPr id="80897" name="Drop Down 1" hidden="1">
              <a:extLst>
                <a:ext uri="{63B3BB69-23CF-44E3-9099-C40C66FF867C}">
                  <a14:compatExt spid="_x0000_s80897"/>
                </a:ext>
                <a:ext uri="{FF2B5EF4-FFF2-40B4-BE49-F238E27FC236}">
                  <a16:creationId xmlns:a16="http://schemas.microsoft.com/office/drawing/2014/main" id="{00000000-0008-0000-0200-0000013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0</xdr:colOff>
          <xdr:row>13</xdr:row>
          <xdr:rowOff>0</xdr:rowOff>
        </xdr:from>
        <xdr:to>
          <xdr:col>3</xdr:col>
          <xdr:colOff>220980</xdr:colOff>
          <xdr:row>14</xdr:row>
          <xdr:rowOff>0</xdr:rowOff>
        </xdr:to>
        <xdr:sp macro="" textlink="">
          <xdr:nvSpPr>
            <xdr:cNvPr id="80898" name="Drop Down 2" hidden="1">
              <a:extLst>
                <a:ext uri="{63B3BB69-23CF-44E3-9099-C40C66FF867C}">
                  <a14:compatExt spid="_x0000_s80898"/>
                </a:ext>
                <a:ext uri="{FF2B5EF4-FFF2-40B4-BE49-F238E27FC236}">
                  <a16:creationId xmlns:a16="http://schemas.microsoft.com/office/drawing/2014/main" id="{00000000-0008-0000-0200-0000023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0</xdr:colOff>
          <xdr:row>21</xdr:row>
          <xdr:rowOff>0</xdr:rowOff>
        </xdr:from>
        <xdr:to>
          <xdr:col>3</xdr:col>
          <xdr:colOff>0</xdr:colOff>
          <xdr:row>22</xdr:row>
          <xdr:rowOff>0</xdr:rowOff>
        </xdr:to>
        <xdr:sp macro="" textlink="">
          <xdr:nvSpPr>
            <xdr:cNvPr id="80899" name="Drop Down 3" hidden="1">
              <a:extLst>
                <a:ext uri="{63B3BB69-23CF-44E3-9099-C40C66FF867C}">
                  <a14:compatExt spid="_x0000_s80899"/>
                </a:ext>
                <a:ext uri="{FF2B5EF4-FFF2-40B4-BE49-F238E27FC236}">
                  <a16:creationId xmlns:a16="http://schemas.microsoft.com/office/drawing/2014/main" id="{00000000-0008-0000-0200-0000033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0</xdr:colOff>
          <xdr:row>33</xdr:row>
          <xdr:rowOff>0</xdr:rowOff>
        </xdr:from>
        <xdr:to>
          <xdr:col>3</xdr:col>
          <xdr:colOff>0</xdr:colOff>
          <xdr:row>34</xdr:row>
          <xdr:rowOff>0</xdr:rowOff>
        </xdr:to>
        <xdr:sp macro="" textlink="">
          <xdr:nvSpPr>
            <xdr:cNvPr id="80900" name="Drop Down 4" hidden="1">
              <a:extLst>
                <a:ext uri="{63B3BB69-23CF-44E3-9099-C40C66FF867C}">
                  <a14:compatExt spid="_x0000_s80900"/>
                </a:ext>
                <a:ext uri="{FF2B5EF4-FFF2-40B4-BE49-F238E27FC236}">
                  <a16:creationId xmlns:a16="http://schemas.microsoft.com/office/drawing/2014/main" id="{00000000-0008-0000-0200-0000043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0</xdr:colOff>
          <xdr:row>14</xdr:row>
          <xdr:rowOff>0</xdr:rowOff>
        </xdr:from>
        <xdr:to>
          <xdr:col>3</xdr:col>
          <xdr:colOff>220980</xdr:colOff>
          <xdr:row>15</xdr:row>
          <xdr:rowOff>0</xdr:rowOff>
        </xdr:to>
        <xdr:sp macro="" textlink="">
          <xdr:nvSpPr>
            <xdr:cNvPr id="80901" name="Drop Down 5" hidden="1">
              <a:extLst>
                <a:ext uri="{63B3BB69-23CF-44E3-9099-C40C66FF867C}">
                  <a14:compatExt spid="_x0000_s80901"/>
                </a:ext>
                <a:ext uri="{FF2B5EF4-FFF2-40B4-BE49-F238E27FC236}">
                  <a16:creationId xmlns:a16="http://schemas.microsoft.com/office/drawing/2014/main" id="{00000000-0008-0000-0200-0000053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0</xdr:colOff>
          <xdr:row>53</xdr:row>
          <xdr:rowOff>0</xdr:rowOff>
        </xdr:from>
        <xdr:to>
          <xdr:col>3</xdr:col>
          <xdr:colOff>0</xdr:colOff>
          <xdr:row>54</xdr:row>
          <xdr:rowOff>0</xdr:rowOff>
        </xdr:to>
        <xdr:sp macro="" textlink="">
          <xdr:nvSpPr>
            <xdr:cNvPr id="80902" name="Drop Down 6" hidden="1">
              <a:extLst>
                <a:ext uri="{63B3BB69-23CF-44E3-9099-C40C66FF867C}">
                  <a14:compatExt spid="_x0000_s80902"/>
                </a:ext>
                <a:ext uri="{FF2B5EF4-FFF2-40B4-BE49-F238E27FC236}">
                  <a16:creationId xmlns:a16="http://schemas.microsoft.com/office/drawing/2014/main" id="{00000000-0008-0000-0200-0000063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0</xdr:colOff>
          <xdr:row>32</xdr:row>
          <xdr:rowOff>0</xdr:rowOff>
        </xdr:from>
        <xdr:to>
          <xdr:col>6</xdr:col>
          <xdr:colOff>0</xdr:colOff>
          <xdr:row>33</xdr:row>
          <xdr:rowOff>0</xdr:rowOff>
        </xdr:to>
        <xdr:sp macro="" textlink="">
          <xdr:nvSpPr>
            <xdr:cNvPr id="80903" name="Drop Down 7" hidden="1">
              <a:extLst>
                <a:ext uri="{63B3BB69-23CF-44E3-9099-C40C66FF867C}">
                  <a14:compatExt spid="_x0000_s80903"/>
                </a:ext>
                <a:ext uri="{FF2B5EF4-FFF2-40B4-BE49-F238E27FC236}">
                  <a16:creationId xmlns:a16="http://schemas.microsoft.com/office/drawing/2014/main" id="{00000000-0008-0000-0200-0000073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0</xdr:colOff>
          <xdr:row>52</xdr:row>
          <xdr:rowOff>0</xdr:rowOff>
        </xdr:from>
        <xdr:to>
          <xdr:col>6</xdr:col>
          <xdr:colOff>0</xdr:colOff>
          <xdr:row>53</xdr:row>
          <xdr:rowOff>0</xdr:rowOff>
        </xdr:to>
        <xdr:sp macro="" textlink="">
          <xdr:nvSpPr>
            <xdr:cNvPr id="80904" name="Drop Down 8" hidden="1">
              <a:extLst>
                <a:ext uri="{63B3BB69-23CF-44E3-9099-C40C66FF867C}">
                  <a14:compatExt spid="_x0000_s80904"/>
                </a:ext>
                <a:ext uri="{FF2B5EF4-FFF2-40B4-BE49-F238E27FC236}">
                  <a16:creationId xmlns:a16="http://schemas.microsoft.com/office/drawing/2014/main" id="{00000000-0008-0000-0200-0000083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48</xdr:row>
          <xdr:rowOff>22860</xdr:rowOff>
        </xdr:from>
        <xdr:to>
          <xdr:col>19</xdr:col>
          <xdr:colOff>7620</xdr:colOff>
          <xdr:row>61</xdr:row>
          <xdr:rowOff>121920</xdr:rowOff>
        </xdr:to>
        <xdr:sp macro="" textlink="">
          <xdr:nvSpPr>
            <xdr:cNvPr id="80906" name="Object 10" hidden="1">
              <a:extLst>
                <a:ext uri="{63B3BB69-23CF-44E3-9099-C40C66FF867C}">
                  <a14:compatExt spid="_x0000_s80906"/>
                </a:ext>
                <a:ext uri="{FF2B5EF4-FFF2-40B4-BE49-F238E27FC236}">
                  <a16:creationId xmlns:a16="http://schemas.microsoft.com/office/drawing/2014/main" id="{00000000-0008-0000-0200-00000A3C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12</xdr:col>
      <xdr:colOff>0</xdr:colOff>
      <xdr:row>103</xdr:row>
      <xdr:rowOff>19050</xdr:rowOff>
    </xdr:from>
    <xdr:to>
      <xdr:col>15</xdr:col>
      <xdr:colOff>200025</xdr:colOff>
      <xdr:row>111</xdr:row>
      <xdr:rowOff>173472</xdr:rowOff>
    </xdr:to>
    <xdr:pic>
      <xdr:nvPicPr>
        <xdr:cNvPr id="3" name="Picture 14">
          <a:extLst>
            <a:ext uri="{FF2B5EF4-FFF2-40B4-BE49-F238E27FC236}">
              <a16:creationId xmlns:a16="http://schemas.microsoft.com/office/drawing/2014/main" id="{00000000-0008-0000-34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896100" y="19297650"/>
          <a:ext cx="2171700" cy="1773672"/>
        </a:xfrm>
        <a:prstGeom prst="rect">
          <a:avLst/>
        </a:prstGeom>
        <a:noFill/>
      </xdr:spPr>
    </xdr:pic>
    <xdr:clientData/>
  </xdr:twoCellAnchor>
  <xdr:twoCellAnchor editAs="oneCell">
    <xdr:from>
      <xdr:col>11</xdr:col>
      <xdr:colOff>0</xdr:colOff>
      <xdr:row>82</xdr:row>
      <xdr:rowOff>0</xdr:rowOff>
    </xdr:from>
    <xdr:to>
      <xdr:col>16</xdr:col>
      <xdr:colOff>609134</xdr:colOff>
      <xdr:row>95</xdr:row>
      <xdr:rowOff>114300</xdr:rowOff>
    </xdr:to>
    <xdr:pic>
      <xdr:nvPicPr>
        <xdr:cNvPr id="8" name="Picture 16">
          <a:extLst>
            <a:ext uri="{FF2B5EF4-FFF2-40B4-BE49-F238E27FC236}">
              <a16:creationId xmlns:a16="http://schemas.microsoft.com/office/drawing/2014/main" id="{00000000-0008-0000-34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38875" y="15382875"/>
          <a:ext cx="3895259" cy="2676525"/>
        </a:xfrm>
        <a:prstGeom prst="rect">
          <a:avLst/>
        </a:prstGeom>
        <a:noFill/>
      </xdr:spPr>
    </xdr:pic>
    <xdr:clientData/>
  </xdr:twoCellAnchor>
  <xdr:twoCellAnchor editAs="oneCell">
    <xdr:from>
      <xdr:col>11</xdr:col>
      <xdr:colOff>0</xdr:colOff>
      <xdr:row>66</xdr:row>
      <xdr:rowOff>0</xdr:rowOff>
    </xdr:from>
    <xdr:to>
      <xdr:col>14</xdr:col>
      <xdr:colOff>363411</xdr:colOff>
      <xdr:row>79</xdr:row>
      <xdr:rowOff>240030</xdr:rowOff>
    </xdr:to>
    <xdr:pic>
      <xdr:nvPicPr>
        <xdr:cNvPr id="11" name="Picture 17">
          <a:extLst>
            <a:ext uri="{FF2B5EF4-FFF2-40B4-BE49-F238E27FC236}">
              <a16:creationId xmlns:a16="http://schemas.microsoft.com/office/drawing/2014/main" id="{00000000-0008-0000-3400-00000B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6238875" y="12287250"/>
          <a:ext cx="2335086" cy="2686050"/>
        </a:xfrm>
        <a:prstGeom prst="rect">
          <a:avLst/>
        </a:prstGeom>
        <a:noFill/>
      </xdr:spPr>
    </xdr:pic>
    <xdr:clientData/>
  </xdr:twoCellAnchor>
  <mc:AlternateContent xmlns:mc="http://schemas.openxmlformats.org/markup-compatibility/2006">
    <mc:Choice xmlns:a14="http://schemas.microsoft.com/office/drawing/2010/main" Requires="a14">
      <xdr:twoCellAnchor editAs="absolute">
        <xdr:from>
          <xdr:col>2</xdr:col>
          <xdr:colOff>0</xdr:colOff>
          <xdr:row>16</xdr:row>
          <xdr:rowOff>0</xdr:rowOff>
        </xdr:from>
        <xdr:to>
          <xdr:col>3</xdr:col>
          <xdr:colOff>220980</xdr:colOff>
          <xdr:row>17</xdr:row>
          <xdr:rowOff>0</xdr:rowOff>
        </xdr:to>
        <xdr:sp macro="" textlink="">
          <xdr:nvSpPr>
            <xdr:cNvPr id="79873" name="Drop Down 1" hidden="1">
              <a:extLst>
                <a:ext uri="{63B3BB69-23CF-44E3-9099-C40C66FF867C}">
                  <a14:compatExt spid="_x0000_s79873"/>
                </a:ext>
                <a:ext uri="{FF2B5EF4-FFF2-40B4-BE49-F238E27FC236}">
                  <a16:creationId xmlns:a16="http://schemas.microsoft.com/office/drawing/2014/main" id="{00000000-0008-0000-0300-0000013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0</xdr:colOff>
          <xdr:row>17</xdr:row>
          <xdr:rowOff>0</xdr:rowOff>
        </xdr:from>
        <xdr:to>
          <xdr:col>3</xdr:col>
          <xdr:colOff>220980</xdr:colOff>
          <xdr:row>18</xdr:row>
          <xdr:rowOff>0</xdr:rowOff>
        </xdr:to>
        <xdr:sp macro="" textlink="">
          <xdr:nvSpPr>
            <xdr:cNvPr id="79874" name="Drop Down 2" hidden="1">
              <a:extLst>
                <a:ext uri="{63B3BB69-23CF-44E3-9099-C40C66FF867C}">
                  <a14:compatExt spid="_x0000_s79874"/>
                </a:ext>
                <a:ext uri="{FF2B5EF4-FFF2-40B4-BE49-F238E27FC236}">
                  <a16:creationId xmlns:a16="http://schemas.microsoft.com/office/drawing/2014/main" id="{00000000-0008-0000-0300-0000023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0</xdr:colOff>
          <xdr:row>25</xdr:row>
          <xdr:rowOff>0</xdr:rowOff>
        </xdr:from>
        <xdr:to>
          <xdr:col>3</xdr:col>
          <xdr:colOff>0</xdr:colOff>
          <xdr:row>26</xdr:row>
          <xdr:rowOff>0</xdr:rowOff>
        </xdr:to>
        <xdr:sp macro="" textlink="">
          <xdr:nvSpPr>
            <xdr:cNvPr id="79875" name="Drop Down 3" hidden="1">
              <a:extLst>
                <a:ext uri="{63B3BB69-23CF-44E3-9099-C40C66FF867C}">
                  <a14:compatExt spid="_x0000_s79875"/>
                </a:ext>
                <a:ext uri="{FF2B5EF4-FFF2-40B4-BE49-F238E27FC236}">
                  <a16:creationId xmlns:a16="http://schemas.microsoft.com/office/drawing/2014/main" id="{00000000-0008-0000-0300-0000033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0</xdr:colOff>
          <xdr:row>37</xdr:row>
          <xdr:rowOff>0</xdr:rowOff>
        </xdr:from>
        <xdr:to>
          <xdr:col>3</xdr:col>
          <xdr:colOff>0</xdr:colOff>
          <xdr:row>38</xdr:row>
          <xdr:rowOff>0</xdr:rowOff>
        </xdr:to>
        <xdr:sp macro="" textlink="">
          <xdr:nvSpPr>
            <xdr:cNvPr id="79877" name="Drop Down 5" hidden="1">
              <a:extLst>
                <a:ext uri="{63B3BB69-23CF-44E3-9099-C40C66FF867C}">
                  <a14:compatExt spid="_x0000_s79877"/>
                </a:ext>
                <a:ext uri="{FF2B5EF4-FFF2-40B4-BE49-F238E27FC236}">
                  <a16:creationId xmlns:a16="http://schemas.microsoft.com/office/drawing/2014/main" id="{00000000-0008-0000-0300-0000053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0</xdr:colOff>
          <xdr:row>18</xdr:row>
          <xdr:rowOff>0</xdr:rowOff>
        </xdr:from>
        <xdr:to>
          <xdr:col>3</xdr:col>
          <xdr:colOff>220980</xdr:colOff>
          <xdr:row>19</xdr:row>
          <xdr:rowOff>0</xdr:rowOff>
        </xdr:to>
        <xdr:sp macro="" textlink="">
          <xdr:nvSpPr>
            <xdr:cNvPr id="79878" name="Drop Down 6" hidden="1">
              <a:extLst>
                <a:ext uri="{63B3BB69-23CF-44E3-9099-C40C66FF867C}">
                  <a14:compatExt spid="_x0000_s79878"/>
                </a:ext>
                <a:ext uri="{FF2B5EF4-FFF2-40B4-BE49-F238E27FC236}">
                  <a16:creationId xmlns:a16="http://schemas.microsoft.com/office/drawing/2014/main" id="{00000000-0008-0000-0300-0000063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0</xdr:colOff>
          <xdr:row>57</xdr:row>
          <xdr:rowOff>0</xdr:rowOff>
        </xdr:from>
        <xdr:to>
          <xdr:col>3</xdr:col>
          <xdr:colOff>0</xdr:colOff>
          <xdr:row>58</xdr:row>
          <xdr:rowOff>0</xdr:rowOff>
        </xdr:to>
        <xdr:sp macro="" textlink="">
          <xdr:nvSpPr>
            <xdr:cNvPr id="79879" name="Drop Down 7" hidden="1">
              <a:extLst>
                <a:ext uri="{63B3BB69-23CF-44E3-9099-C40C66FF867C}">
                  <a14:compatExt spid="_x0000_s79879"/>
                </a:ext>
                <a:ext uri="{FF2B5EF4-FFF2-40B4-BE49-F238E27FC236}">
                  <a16:creationId xmlns:a16="http://schemas.microsoft.com/office/drawing/2014/main" id="{00000000-0008-0000-0300-0000073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0</xdr:colOff>
          <xdr:row>36</xdr:row>
          <xdr:rowOff>0</xdr:rowOff>
        </xdr:from>
        <xdr:to>
          <xdr:col>6</xdr:col>
          <xdr:colOff>0</xdr:colOff>
          <xdr:row>37</xdr:row>
          <xdr:rowOff>0</xdr:rowOff>
        </xdr:to>
        <xdr:sp macro="" textlink="">
          <xdr:nvSpPr>
            <xdr:cNvPr id="79883" name="Drop Down 11" hidden="1">
              <a:extLst>
                <a:ext uri="{63B3BB69-23CF-44E3-9099-C40C66FF867C}">
                  <a14:compatExt spid="_x0000_s79883"/>
                </a:ext>
                <a:ext uri="{FF2B5EF4-FFF2-40B4-BE49-F238E27FC236}">
                  <a16:creationId xmlns:a16="http://schemas.microsoft.com/office/drawing/2014/main" id="{00000000-0008-0000-0300-00000B3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0</xdr:colOff>
          <xdr:row>56</xdr:row>
          <xdr:rowOff>0</xdr:rowOff>
        </xdr:from>
        <xdr:to>
          <xdr:col>6</xdr:col>
          <xdr:colOff>0</xdr:colOff>
          <xdr:row>57</xdr:row>
          <xdr:rowOff>0</xdr:rowOff>
        </xdr:to>
        <xdr:sp macro="" textlink="">
          <xdr:nvSpPr>
            <xdr:cNvPr id="79884" name="Drop Down 12" hidden="1">
              <a:extLst>
                <a:ext uri="{63B3BB69-23CF-44E3-9099-C40C66FF867C}">
                  <a14:compatExt spid="_x0000_s79884"/>
                </a:ext>
                <a:ext uri="{FF2B5EF4-FFF2-40B4-BE49-F238E27FC236}">
                  <a16:creationId xmlns:a16="http://schemas.microsoft.com/office/drawing/2014/main" id="{00000000-0008-0000-0300-00000C3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49</xdr:row>
          <xdr:rowOff>22860</xdr:rowOff>
        </xdr:from>
        <xdr:to>
          <xdr:col>19</xdr:col>
          <xdr:colOff>7620</xdr:colOff>
          <xdr:row>62</xdr:row>
          <xdr:rowOff>121920</xdr:rowOff>
        </xdr:to>
        <xdr:sp macro="" textlink="">
          <xdr:nvSpPr>
            <xdr:cNvPr id="79886" name="Object 14" hidden="1">
              <a:extLst>
                <a:ext uri="{63B3BB69-23CF-44E3-9099-C40C66FF867C}">
                  <a14:compatExt spid="_x0000_s79886"/>
                </a:ext>
                <a:ext uri="{FF2B5EF4-FFF2-40B4-BE49-F238E27FC236}">
                  <a16:creationId xmlns:a16="http://schemas.microsoft.com/office/drawing/2014/main" id="{00000000-0008-0000-0300-00000E3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image" Target="../media/image49.emf"/><Relationship Id="rId10" Type="http://schemas.openxmlformats.org/officeDocument/2006/relationships/ctrlProp" Target="../ctrlProps/ctrlProp7.xml"/><Relationship Id="rId4" Type="http://schemas.openxmlformats.org/officeDocument/2006/relationships/oleObject" Target="../embeddings/oleObject1.bin"/><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vmlDrawing" Target="../drawings/vmlDrawing4.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image" Target="../media/image49.emf"/><Relationship Id="rId10" Type="http://schemas.openxmlformats.org/officeDocument/2006/relationships/ctrlProp" Target="../ctrlProps/ctrlProp15.xml"/><Relationship Id="rId4" Type="http://schemas.openxmlformats.org/officeDocument/2006/relationships/oleObject" Target="../embeddings/oleObject2.bin"/><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pageSetUpPr fitToPage="1"/>
  </sheetPr>
  <dimension ref="B1:S98"/>
  <sheetViews>
    <sheetView showGridLines="0" showRowColHeaders="0" zoomScaleNormal="100" workbookViewId="0">
      <selection activeCell="D4" sqref="D4:R4"/>
    </sheetView>
  </sheetViews>
  <sheetFormatPr defaultColWidth="9" defaultRowHeight="13.8" x14ac:dyDescent="0.25"/>
  <cols>
    <col min="1" max="1" width="1.59765625" style="3" customWidth="1"/>
    <col min="2" max="18" width="8.59765625" style="3" customWidth="1"/>
    <col min="19" max="19" width="2.59765625" style="3" customWidth="1"/>
    <col min="20" max="16384" width="9" style="3"/>
  </cols>
  <sheetData>
    <row r="1" spans="2:19" ht="15" customHeight="1" x14ac:dyDescent="0.25"/>
    <row r="2" spans="2:19" ht="15" customHeight="1" x14ac:dyDescent="0.25">
      <c r="B2" s="300" t="str">
        <f>CHOOSE(Project!$D$14,"Algemene projectgegevens","Données général du projet","General project information","Algemeine Projektdaten")</f>
        <v>Algemene projectgegevens</v>
      </c>
      <c r="C2" s="301"/>
      <c r="D2" s="301"/>
      <c r="E2" s="301"/>
      <c r="F2" s="301"/>
      <c r="G2" s="301"/>
      <c r="H2" s="301"/>
      <c r="I2" s="301"/>
      <c r="J2" s="301"/>
      <c r="K2" s="301"/>
      <c r="L2" s="301"/>
      <c r="M2" s="301"/>
      <c r="N2" s="301"/>
      <c r="O2" s="301"/>
      <c r="P2" s="301"/>
      <c r="Q2" s="301"/>
      <c r="R2" s="302"/>
      <c r="S2" s="92"/>
    </row>
    <row r="3" spans="2:19" ht="15" customHeight="1" x14ac:dyDescent="0.25"/>
    <row r="4" spans="2:19" ht="15" customHeight="1" x14ac:dyDescent="0.25">
      <c r="B4" s="296" t="str">
        <f>CHOOSE(Project!$D$14,"Project","Projet","Project", "Projekt")</f>
        <v>Project</v>
      </c>
      <c r="C4" s="297"/>
      <c r="D4" s="311"/>
      <c r="E4" s="312"/>
      <c r="F4" s="312"/>
      <c r="G4" s="312"/>
      <c r="H4" s="312"/>
      <c r="I4" s="312"/>
      <c r="J4" s="312"/>
      <c r="K4" s="312"/>
      <c r="L4" s="312"/>
      <c r="M4" s="312"/>
      <c r="N4" s="312"/>
      <c r="O4" s="312"/>
      <c r="P4" s="312"/>
      <c r="Q4" s="312"/>
      <c r="R4" s="313"/>
    </row>
    <row r="5" spans="2:19" ht="15" customHeight="1" x14ac:dyDescent="0.25">
      <c r="B5" s="298" t="str">
        <f>CHOOSE(Project!$D$14,"Dossiernummer","Numéro du dossier","File number","...........")</f>
        <v>Dossiernummer</v>
      </c>
      <c r="C5" s="299"/>
      <c r="D5" s="314"/>
      <c r="E5" s="306"/>
      <c r="F5" s="306"/>
      <c r="G5" s="306"/>
      <c r="H5" s="306"/>
      <c r="I5" s="306"/>
      <c r="J5" s="306"/>
      <c r="K5" s="306"/>
      <c r="L5" s="306"/>
      <c r="M5" s="306"/>
      <c r="N5" s="306"/>
      <c r="O5" s="306"/>
      <c r="P5" s="306"/>
      <c r="Q5" s="306"/>
      <c r="R5" s="307"/>
    </row>
    <row r="6" spans="2:19" ht="15" customHeight="1" x14ac:dyDescent="0.25">
      <c r="B6" s="298" t="str">
        <f>CHOOSE(Project!$D$14,"Adres","Adresse","Adress","....")</f>
        <v>Adres</v>
      </c>
      <c r="C6" s="299"/>
      <c r="D6" s="305"/>
      <c r="E6" s="306"/>
      <c r="F6" s="306"/>
      <c r="G6" s="306"/>
      <c r="H6" s="306"/>
      <c r="I6" s="306"/>
      <c r="J6" s="306"/>
      <c r="K6" s="306"/>
      <c r="L6" s="306"/>
      <c r="M6" s="306"/>
      <c r="N6" s="306"/>
      <c r="O6" s="306"/>
      <c r="P6" s="306"/>
      <c r="Q6" s="306"/>
      <c r="R6" s="307"/>
    </row>
    <row r="7" spans="2:19" ht="15" customHeight="1" x14ac:dyDescent="0.25">
      <c r="B7" s="298" t="str">
        <f>CHOOSE(Project!$D$14,"Plaats","Lieu","Place","Ort")</f>
        <v>Plaats</v>
      </c>
      <c r="C7" s="299"/>
      <c r="D7" s="305"/>
      <c r="E7" s="306"/>
      <c r="F7" s="306"/>
      <c r="G7" s="306"/>
      <c r="H7" s="306"/>
      <c r="I7" s="306"/>
      <c r="J7" s="306"/>
      <c r="K7" s="306"/>
      <c r="L7" s="306"/>
      <c r="M7" s="306"/>
      <c r="N7" s="306"/>
      <c r="O7" s="306"/>
      <c r="P7" s="306"/>
      <c r="Q7" s="306"/>
      <c r="R7" s="307"/>
    </row>
    <row r="8" spans="2:19" ht="15" customHeight="1" x14ac:dyDescent="0.25">
      <c r="B8" s="298" t="str">
        <f>CHOOSE(Project!$D$14,"Land","Pays","Country","Land")</f>
        <v>Land</v>
      </c>
      <c r="C8" s="299"/>
      <c r="D8" s="62">
        <v>1</v>
      </c>
      <c r="E8" s="61"/>
      <c r="F8" s="308"/>
      <c r="G8" s="309"/>
      <c r="H8" s="309"/>
      <c r="I8" s="309"/>
      <c r="J8" s="309"/>
      <c r="K8" s="309"/>
      <c r="L8" s="309"/>
      <c r="M8" s="309"/>
      <c r="N8" s="309"/>
      <c r="O8" s="309"/>
      <c r="P8" s="309"/>
      <c r="Q8" s="309"/>
      <c r="R8" s="310"/>
    </row>
    <row r="9" spans="2:19" ht="15" customHeight="1" x14ac:dyDescent="0.25">
      <c r="B9" s="298" t="str">
        <f>CHOOSE(Project!$D$14,"Gevelbouwer","Menuisier","Facade company","Metalbauer")</f>
        <v>Gevelbouwer</v>
      </c>
      <c r="C9" s="299"/>
      <c r="D9" s="305"/>
      <c r="E9" s="306"/>
      <c r="F9" s="306"/>
      <c r="G9" s="306"/>
      <c r="H9" s="306"/>
      <c r="I9" s="306"/>
      <c r="J9" s="306"/>
      <c r="K9" s="306"/>
      <c r="L9" s="306"/>
      <c r="M9" s="306"/>
      <c r="N9" s="306"/>
      <c r="O9" s="306"/>
      <c r="P9" s="306"/>
      <c r="Q9" s="306"/>
      <c r="R9" s="307"/>
    </row>
    <row r="10" spans="2:19" ht="15" customHeight="1" x14ac:dyDescent="0.25">
      <c r="B10" s="298" t="str">
        <f>CHOOSE(Project!$D$14,"Adres","Adresse","Adress","....")</f>
        <v>Adres</v>
      </c>
      <c r="C10" s="299"/>
      <c r="D10" s="305"/>
      <c r="E10" s="306"/>
      <c r="F10" s="306"/>
      <c r="G10" s="306"/>
      <c r="H10" s="306"/>
      <c r="I10" s="306"/>
      <c r="J10" s="306"/>
      <c r="K10" s="306"/>
      <c r="L10" s="306"/>
      <c r="M10" s="306"/>
      <c r="N10" s="306"/>
      <c r="O10" s="306"/>
      <c r="P10" s="306"/>
      <c r="Q10" s="306"/>
      <c r="R10" s="307"/>
    </row>
    <row r="11" spans="2:19" ht="15" customHeight="1" x14ac:dyDescent="0.25">
      <c r="B11" s="298" t="str">
        <f>CHOOSE(Project!$D$14,"Plaats","Lieu","Place","Ort")</f>
        <v>Plaats</v>
      </c>
      <c r="C11" s="299"/>
      <c r="D11" s="305"/>
      <c r="E11" s="306"/>
      <c r="F11" s="306"/>
      <c r="G11" s="306"/>
      <c r="H11" s="306"/>
      <c r="I11" s="306"/>
      <c r="J11" s="306"/>
      <c r="K11" s="306"/>
      <c r="L11" s="306"/>
      <c r="M11" s="306"/>
      <c r="N11" s="306"/>
      <c r="O11" s="306"/>
      <c r="P11" s="306"/>
      <c r="Q11" s="306"/>
      <c r="R11" s="307"/>
    </row>
    <row r="12" spans="2:19" ht="15" customHeight="1" x14ac:dyDescent="0.25">
      <c r="B12" s="298" t="str">
        <f>CHOOSE(Project!$D$14,"Land","Pays","Country","Land")</f>
        <v>Land</v>
      </c>
      <c r="C12" s="299"/>
      <c r="D12" s="305"/>
      <c r="E12" s="306"/>
      <c r="F12" s="306"/>
      <c r="G12" s="306"/>
      <c r="H12" s="306"/>
      <c r="I12" s="306"/>
      <c r="J12" s="306"/>
      <c r="K12" s="306"/>
      <c r="L12" s="306"/>
      <c r="M12" s="306"/>
      <c r="N12" s="306"/>
      <c r="O12" s="306"/>
      <c r="P12" s="306"/>
      <c r="Q12" s="306"/>
      <c r="R12" s="307"/>
    </row>
    <row r="13" spans="2:19" ht="15" customHeight="1" x14ac:dyDescent="0.25">
      <c r="B13" s="298" t="str">
        <f>CHOOSE(Project!$D$14,"Berekend door","Calculé par","Calculated by","Berechnet von")</f>
        <v>Berekend door</v>
      </c>
      <c r="C13" s="299"/>
      <c r="D13" s="305"/>
      <c r="E13" s="306"/>
      <c r="F13" s="306"/>
      <c r="G13" s="306"/>
      <c r="H13" s="306"/>
      <c r="I13" s="306"/>
      <c r="J13" s="306"/>
      <c r="K13" s="306"/>
      <c r="L13" s="306"/>
      <c r="M13" s="306"/>
      <c r="N13" s="306"/>
      <c r="O13" s="306"/>
      <c r="P13" s="306"/>
      <c r="Q13" s="306"/>
      <c r="R13" s="307"/>
    </row>
    <row r="14" spans="2:19" ht="15" customHeight="1" x14ac:dyDescent="0.25">
      <c r="B14" s="298" t="str">
        <f>CHOOSE(Project!$D$14,"Taal","Langue","Language","Sprache")</f>
        <v>Taal</v>
      </c>
      <c r="C14" s="299"/>
      <c r="D14" s="62">
        <v>1</v>
      </c>
      <c r="E14" s="61"/>
      <c r="F14" s="308"/>
      <c r="G14" s="309"/>
      <c r="H14" s="309"/>
      <c r="I14" s="309"/>
      <c r="J14" s="309"/>
      <c r="K14" s="309"/>
      <c r="L14" s="309"/>
      <c r="M14" s="309"/>
      <c r="N14" s="309"/>
      <c r="O14" s="309"/>
      <c r="P14" s="309"/>
      <c r="Q14" s="309"/>
      <c r="R14" s="310"/>
    </row>
    <row r="15" spans="2:19" ht="15" customHeight="1" x14ac:dyDescent="0.25">
      <c r="B15" s="303" t="str">
        <f>CHOOSE(Project!$D$14,"Datum","Date","Date","Datum")</f>
        <v>Datum</v>
      </c>
      <c r="C15" s="304"/>
      <c r="D15" s="293">
        <f ca="1">TODAY()</f>
        <v>46175</v>
      </c>
      <c r="E15" s="294"/>
      <c r="F15" s="294"/>
      <c r="G15" s="294"/>
      <c r="H15" s="294"/>
      <c r="I15" s="294"/>
      <c r="J15" s="294"/>
      <c r="K15" s="294"/>
      <c r="L15" s="294"/>
      <c r="M15" s="294"/>
      <c r="N15" s="294"/>
      <c r="O15" s="294"/>
      <c r="P15" s="294"/>
      <c r="Q15" s="294"/>
      <c r="R15" s="295"/>
    </row>
    <row r="16" spans="2:19" ht="15" customHeight="1" x14ac:dyDescent="0.25"/>
    <row r="17" spans="2:18" ht="15" customHeight="1" x14ac:dyDescent="0.25">
      <c r="B17" s="4" t="str">
        <f>CHOOSE(Project!$D$14,"Toegepaste normen en documenten","Normes et documents d'application","Applicated standards and documents",".....................")</f>
        <v>Toegepaste normen en documenten</v>
      </c>
    </row>
    <row r="18" spans="2:18" ht="15" customHeight="1" x14ac:dyDescent="0.25">
      <c r="B18" s="130" t="str">
        <f>CHOOSE(Project!$D$14,"Europeese normen","Normes europeenes","European standards","Europaisches Standard")</f>
        <v>Europeese normen</v>
      </c>
      <c r="C18" s="54"/>
      <c r="D18" s="54"/>
      <c r="E18" s="130"/>
      <c r="F18" s="54"/>
      <c r="G18" s="54"/>
      <c r="H18" s="54"/>
      <c r="I18" s="54"/>
      <c r="J18" s="54"/>
      <c r="K18" s="54"/>
      <c r="L18" s="54"/>
      <c r="M18" s="54"/>
      <c r="N18" s="54"/>
    </row>
    <row r="19" spans="2:18" ht="15" customHeight="1" x14ac:dyDescent="0.25">
      <c r="B19" s="130" t="str">
        <f>CHOOSE(Project!$D$8,"NBN EN 1990 – Eurocode 0","NF EN 1990 – Eurocode 0","NEN EN 1990 – Eurocode 0")</f>
        <v>NBN EN 1990 – Eurocode 0</v>
      </c>
      <c r="C19" s="54"/>
      <c r="D19" s="54"/>
      <c r="E19" s="130" t="str">
        <f>CHOOSE(Project!$D$14,"Grondslag voor constructief ontwerp en zijn nationale bijlage + addendum","Bases de calcul des structures - et ses annexes nationales + addendum","............",".....................")</f>
        <v>Grondslag voor constructief ontwerp en zijn nationale bijlage + addendum</v>
      </c>
      <c r="F19" s="54"/>
      <c r="G19" s="54"/>
      <c r="H19" s="54"/>
      <c r="I19" s="54"/>
      <c r="J19" s="54"/>
      <c r="K19" s="54"/>
      <c r="L19" s="54"/>
      <c r="M19" s="54"/>
      <c r="N19" s="54"/>
    </row>
    <row r="20" spans="2:18" ht="15" customHeight="1" x14ac:dyDescent="0.25">
      <c r="B20" s="130" t="str">
        <f>CHOOSE(Project!$D$8,"NBN EN 1991-1-Eurocode 1","NF EN 1991-1-Eurocode 1","NEN EN 1991-1-Eurocode 1")</f>
        <v>NBN EN 1991-1-Eurocode 1</v>
      </c>
      <c r="C20" s="54"/>
      <c r="D20" s="54"/>
      <c r="E20" s="130" t="str">
        <f>CHOOSE(Project!$D$14,"Grondslag van ontwerp en belasting op draagsystemen Delen 1- 1 t/m 1- 5 en hun nationale bijlagen","Actions sur les structures - Partie 1-1 à 1-5 : Actions générales  - et ses annexes nationales","............",".....................")</f>
        <v>Grondslag van ontwerp en belasting op draagsystemen Delen 1- 1 t/m 1- 5 en hun nationale bijlagen</v>
      </c>
      <c r="F20" s="54"/>
      <c r="G20" s="54"/>
      <c r="H20" s="54"/>
      <c r="I20" s="54"/>
      <c r="J20" s="54"/>
      <c r="K20" s="54"/>
      <c r="L20" s="54"/>
      <c r="M20" s="54"/>
      <c r="N20" s="54"/>
    </row>
    <row r="21" spans="2:18" ht="15" customHeight="1" x14ac:dyDescent="0.25">
      <c r="B21" s="130" t="str">
        <f>CHOOSE(Project!$D$8,"NBN EN 1993-1 - Eurocode 3","NF EN 1993-1 - Eurocode 3","NEN EN 1993-1 - Eurocode 3")</f>
        <v>NBN EN 1993-1 - Eurocode 3</v>
      </c>
      <c r="C21" s="54"/>
      <c r="D21" s="54"/>
      <c r="E21" s="130" t="str">
        <f>CHOOSE(Project!$D$14,"Ontwerp en berekening van staalconstructies – Delen 1-1 t/m 1-12 hun nationale bijlagen + addenda","Calcul des structures en acier - Partie 1-1 à 1-12 : Actions générales  - et ses annexes nationales + addenda","............",".....................")</f>
        <v>Ontwerp en berekening van staalconstructies – Delen 1-1 t/m 1-12 hun nationale bijlagen + addenda</v>
      </c>
      <c r="F21" s="54"/>
      <c r="G21" s="54"/>
      <c r="H21" s="54"/>
      <c r="I21" s="54"/>
      <c r="J21" s="54"/>
      <c r="K21" s="54"/>
      <c r="L21" s="54"/>
      <c r="M21" s="54"/>
      <c r="N21" s="54"/>
    </row>
    <row r="22" spans="2:18" ht="15" customHeight="1" x14ac:dyDescent="0.25">
      <c r="B22" s="130" t="str">
        <f>CHOOSE(Project!$D$8,"NBN EN 1999-1 - Eurocode 9","NF EN 1999-1 - Eurocode 9","NEN EN 1999-1 - Eurocode 9")</f>
        <v>NBN EN 1999-1 - Eurocode 9</v>
      </c>
      <c r="C22" s="54"/>
      <c r="D22" s="54"/>
      <c r="E22" s="130" t="str">
        <f>CHOOSE(Project!$D$14,"Ontwerp en berekening van aluminiumconstructies –  Delen 1-1 t/m 1-5 hun nationale bijlagen + addenda","Calcul des structures en aluminium - Partie 1-1 à 1-5 : Actions générales  - et ses annexes nationales + addenda","............",".....................")</f>
        <v>Ontwerp en berekening van aluminiumconstructies –  Delen 1-1 t/m 1-5 hun nationale bijlagen + addenda</v>
      </c>
      <c r="F22" s="54"/>
      <c r="G22" s="54"/>
      <c r="H22" s="54"/>
      <c r="I22" s="54"/>
      <c r="J22" s="54"/>
      <c r="K22" s="54"/>
      <c r="L22" s="54"/>
      <c r="M22" s="54"/>
      <c r="N22" s="54"/>
    </row>
    <row r="23" spans="2:18" ht="15" customHeight="1" x14ac:dyDescent="0.25"/>
    <row r="24" spans="2:18" ht="15" customHeight="1" x14ac:dyDescent="0.25">
      <c r="B24" s="4" t="str">
        <f>CHOOSE(Project!$D$14,"Materiaaleigenschappen","Caractéristiques des matériaux","Material Characteristics",".....................")</f>
        <v>Materiaaleigenschappen</v>
      </c>
      <c r="C24" s="5"/>
    </row>
    <row r="25" spans="2:18" ht="15" customHeight="1" x14ac:dyDescent="0.25">
      <c r="B25" s="326" t="str">
        <f>CHOOSE($D$14,"Karakteristieke weerstand materialen","Résistance caractéristique des matériaux","","")</f>
        <v>Karakteristieke weerstand materialen</v>
      </c>
      <c r="C25" s="327"/>
      <c r="D25" s="327"/>
      <c r="E25" s="327"/>
      <c r="F25" s="327"/>
      <c r="G25" s="316" t="str">
        <f>CHOOSE($D$14,"Karakteristieke waarde","Valeur caractéristique","")</f>
        <v>Karakteristieke waarde</v>
      </c>
      <c r="H25" s="316"/>
      <c r="I25" s="316" t="str">
        <f>CHOOSE($D$14,"Partiële coëfficient","Coefficient partiel","")</f>
        <v>Partiële coëfficient</v>
      </c>
      <c r="J25" s="316" t="str">
        <f>CHOOSE($D$14,"Rekenwaarde","Valeur de calcul","")</f>
        <v>Rekenwaarde</v>
      </c>
      <c r="K25" s="316"/>
      <c r="L25" s="316" t="str">
        <f>CHOOSE($D$14,"Elasticiteitsmodulus","Module d'elasticité","")</f>
        <v>Elasticiteitsmodulus</v>
      </c>
      <c r="M25" s="316"/>
      <c r="N25" s="316" t="str">
        <f>CHOOSE(Project!$D$14,"Volumemassa"," Masse volumique","","")</f>
        <v>Volumemassa</v>
      </c>
      <c r="O25" s="316"/>
      <c r="P25" s="54"/>
      <c r="Q25" s="54"/>
      <c r="R25" s="54"/>
    </row>
    <row r="26" spans="2:18" ht="15" customHeight="1" x14ac:dyDescent="0.25">
      <c r="B26" s="328"/>
      <c r="C26" s="328"/>
      <c r="D26" s="328"/>
      <c r="E26" s="328"/>
      <c r="F26" s="328"/>
      <c r="G26" s="317"/>
      <c r="H26" s="317"/>
      <c r="I26" s="317"/>
      <c r="J26" s="317"/>
      <c r="K26" s="317"/>
      <c r="L26" s="317"/>
      <c r="M26" s="317"/>
      <c r="N26" s="317"/>
      <c r="O26" s="317"/>
      <c r="P26" s="54"/>
      <c r="Q26" s="54"/>
      <c r="R26" s="54"/>
    </row>
    <row r="27" spans="2:18" ht="15" customHeight="1" x14ac:dyDescent="0.35">
      <c r="B27" s="329" t="str">
        <f>CHOOSE($D$14,"Metalen","Métaux","Metals","Metalen")</f>
        <v>Metalen</v>
      </c>
      <c r="C27" s="330"/>
      <c r="D27" s="330"/>
      <c r="E27" s="330"/>
      <c r="F27" s="331"/>
      <c r="G27" s="315" t="s">
        <v>56</v>
      </c>
      <c r="H27" s="315"/>
      <c r="I27" s="251" t="s">
        <v>57</v>
      </c>
      <c r="J27" s="315" t="s">
        <v>53</v>
      </c>
      <c r="K27" s="315"/>
      <c r="L27" s="315" t="s">
        <v>48</v>
      </c>
      <c r="M27" s="315"/>
      <c r="N27" s="324" t="s">
        <v>16</v>
      </c>
      <c r="O27" s="325"/>
      <c r="P27" s="54"/>
      <c r="Q27" s="54"/>
      <c r="R27" s="54"/>
    </row>
    <row r="28" spans="2:18" ht="15" customHeight="1" x14ac:dyDescent="0.35">
      <c r="B28" s="65" t="s">
        <v>229</v>
      </c>
      <c r="C28" s="66"/>
      <c r="D28" s="66"/>
      <c r="E28" s="66"/>
      <c r="F28" s="67"/>
      <c r="G28" s="68">
        <v>150</v>
      </c>
      <c r="H28" s="69" t="s">
        <v>51</v>
      </c>
      <c r="I28" s="70">
        <f>IF($D$8=1,1.1,1.1)</f>
        <v>1.1000000000000001</v>
      </c>
      <c r="J28" s="239">
        <f t="shared" ref="J28:J35" si="0">G28/I28</f>
        <v>136.36363636363635</v>
      </c>
      <c r="K28" s="69" t="s">
        <v>51</v>
      </c>
      <c r="L28" s="73">
        <v>70000</v>
      </c>
      <c r="M28" s="69" t="s">
        <v>51</v>
      </c>
      <c r="N28" s="71">
        <v>2700</v>
      </c>
      <c r="O28" s="72" t="s">
        <v>33</v>
      </c>
      <c r="P28" s="54"/>
      <c r="Q28" s="54"/>
      <c r="R28" s="54"/>
    </row>
    <row r="29" spans="2:18" ht="15" customHeight="1" x14ac:dyDescent="0.35">
      <c r="B29" s="65" t="s">
        <v>230</v>
      </c>
      <c r="C29" s="66"/>
      <c r="D29" s="66"/>
      <c r="E29" s="66"/>
      <c r="F29" s="67"/>
      <c r="G29" s="68">
        <v>160</v>
      </c>
      <c r="H29" s="69" t="s">
        <v>51</v>
      </c>
      <c r="I29" s="75">
        <f>IF($D$8=1,1.1,1.1)</f>
        <v>1.1000000000000001</v>
      </c>
      <c r="J29" s="240">
        <f t="shared" si="0"/>
        <v>145.45454545454544</v>
      </c>
      <c r="K29" s="69" t="s">
        <v>51</v>
      </c>
      <c r="L29" s="76">
        <v>70000</v>
      </c>
      <c r="M29" s="69" t="s">
        <v>51</v>
      </c>
      <c r="N29" s="68">
        <v>2700</v>
      </c>
      <c r="O29" s="69" t="s">
        <v>33</v>
      </c>
      <c r="P29" s="54"/>
      <c r="Q29" s="54"/>
      <c r="R29" s="54"/>
    </row>
    <row r="30" spans="2:18" ht="15" customHeight="1" x14ac:dyDescent="0.35">
      <c r="B30" s="65" t="s">
        <v>231</v>
      </c>
      <c r="C30" s="66"/>
      <c r="D30" s="66"/>
      <c r="E30" s="66"/>
      <c r="F30" s="67"/>
      <c r="G30" s="68">
        <v>180</v>
      </c>
      <c r="H30" s="69" t="s">
        <v>51</v>
      </c>
      <c r="I30" s="75">
        <f>IF($D$8=1,1.1,1.1)</f>
        <v>1.1000000000000001</v>
      </c>
      <c r="J30" s="240">
        <f t="shared" si="0"/>
        <v>163.63636363636363</v>
      </c>
      <c r="K30" s="69" t="s">
        <v>51</v>
      </c>
      <c r="L30" s="76">
        <v>70000</v>
      </c>
      <c r="M30" s="69" t="s">
        <v>51</v>
      </c>
      <c r="N30" s="68">
        <v>2700</v>
      </c>
      <c r="O30" s="69" t="s">
        <v>33</v>
      </c>
      <c r="P30" s="54"/>
      <c r="Q30" s="54"/>
      <c r="R30" s="54"/>
    </row>
    <row r="31" spans="2:18" ht="15" customHeight="1" x14ac:dyDescent="0.35">
      <c r="B31" s="65" t="s">
        <v>232</v>
      </c>
      <c r="C31" s="66"/>
      <c r="D31" s="66"/>
      <c r="E31" s="66"/>
      <c r="F31" s="67"/>
      <c r="G31" s="68">
        <v>200</v>
      </c>
      <c r="H31" s="69" t="s">
        <v>51</v>
      </c>
      <c r="I31" s="75">
        <f>IF($D$8=1,1.1,1.1)</f>
        <v>1.1000000000000001</v>
      </c>
      <c r="J31" s="240">
        <f t="shared" si="0"/>
        <v>181.81818181818181</v>
      </c>
      <c r="K31" s="69" t="s">
        <v>51</v>
      </c>
      <c r="L31" s="76">
        <v>70000</v>
      </c>
      <c r="M31" s="69" t="s">
        <v>51</v>
      </c>
      <c r="N31" s="68">
        <v>2700</v>
      </c>
      <c r="O31" s="69" t="s">
        <v>33</v>
      </c>
      <c r="P31" s="54"/>
      <c r="Q31" s="54"/>
      <c r="R31" s="54"/>
    </row>
    <row r="32" spans="2:18" ht="15" customHeight="1" x14ac:dyDescent="0.35">
      <c r="B32" s="65" t="s">
        <v>227</v>
      </c>
      <c r="C32" s="66"/>
      <c r="D32" s="66"/>
      <c r="E32" s="66"/>
      <c r="F32" s="67"/>
      <c r="G32" s="68">
        <v>235</v>
      </c>
      <c r="H32" s="69" t="s">
        <v>51</v>
      </c>
      <c r="I32" s="75">
        <v>1</v>
      </c>
      <c r="J32" s="240">
        <f t="shared" si="0"/>
        <v>235</v>
      </c>
      <c r="K32" s="69" t="s">
        <v>51</v>
      </c>
      <c r="L32" s="76">
        <v>210000</v>
      </c>
      <c r="M32" s="69" t="s">
        <v>51</v>
      </c>
      <c r="N32" s="68">
        <v>7800</v>
      </c>
      <c r="O32" s="69" t="s">
        <v>33</v>
      </c>
      <c r="P32" s="54"/>
      <c r="Q32" s="54"/>
      <c r="R32" s="54"/>
    </row>
    <row r="33" spans="2:18" ht="15" customHeight="1" x14ac:dyDescent="0.35">
      <c r="B33" s="65" t="s">
        <v>228</v>
      </c>
      <c r="C33" s="66"/>
      <c r="D33" s="66"/>
      <c r="E33" s="66"/>
      <c r="F33" s="67"/>
      <c r="G33" s="68">
        <v>355</v>
      </c>
      <c r="H33" s="69" t="s">
        <v>51</v>
      </c>
      <c r="I33" s="75">
        <v>1</v>
      </c>
      <c r="J33" s="240">
        <f t="shared" si="0"/>
        <v>355</v>
      </c>
      <c r="K33" s="69" t="s">
        <v>51</v>
      </c>
      <c r="L33" s="76">
        <v>210000</v>
      </c>
      <c r="M33" s="69" t="s">
        <v>51</v>
      </c>
      <c r="N33" s="68">
        <v>7800</v>
      </c>
      <c r="O33" s="69" t="s">
        <v>33</v>
      </c>
      <c r="P33" s="54"/>
      <c r="Q33" s="54"/>
      <c r="R33" s="54"/>
    </row>
    <row r="34" spans="2:18" ht="15" customHeight="1" x14ac:dyDescent="0.35">
      <c r="B34" s="78" t="s">
        <v>49</v>
      </c>
      <c r="C34" s="77"/>
      <c r="D34" s="77"/>
      <c r="E34" s="77"/>
      <c r="F34" s="69"/>
      <c r="G34" s="68">
        <v>230</v>
      </c>
      <c r="H34" s="69" t="s">
        <v>51</v>
      </c>
      <c r="I34" s="75">
        <v>1</v>
      </c>
      <c r="J34" s="240">
        <f t="shared" si="0"/>
        <v>230</v>
      </c>
      <c r="K34" s="69" t="s">
        <v>51</v>
      </c>
      <c r="L34" s="76">
        <v>210000</v>
      </c>
      <c r="M34" s="69" t="s">
        <v>51</v>
      </c>
      <c r="N34" s="68">
        <v>7930</v>
      </c>
      <c r="O34" s="69" t="s">
        <v>33</v>
      </c>
      <c r="P34" s="54"/>
      <c r="Q34" s="54"/>
      <c r="R34" s="54"/>
    </row>
    <row r="35" spans="2:18" ht="15" customHeight="1" x14ac:dyDescent="0.35">
      <c r="B35" s="79" t="s">
        <v>50</v>
      </c>
      <c r="C35" s="80"/>
      <c r="D35" s="80"/>
      <c r="E35" s="80"/>
      <c r="F35" s="81"/>
      <c r="G35" s="82">
        <v>210</v>
      </c>
      <c r="H35" s="263" t="s">
        <v>51</v>
      </c>
      <c r="I35" s="83">
        <v>1</v>
      </c>
      <c r="J35" s="241">
        <f t="shared" si="0"/>
        <v>210</v>
      </c>
      <c r="K35" s="263" t="s">
        <v>51</v>
      </c>
      <c r="L35" s="84">
        <v>210000</v>
      </c>
      <c r="M35" s="263" t="s">
        <v>51</v>
      </c>
      <c r="N35" s="82">
        <v>7930</v>
      </c>
      <c r="O35" s="81" t="s">
        <v>33</v>
      </c>
      <c r="P35" s="54"/>
      <c r="Q35" s="54"/>
      <c r="R35" s="54"/>
    </row>
    <row r="36" spans="2:18" ht="15" customHeight="1" x14ac:dyDescent="0.25">
      <c r="B36" s="55"/>
      <c r="C36" s="54"/>
      <c r="D36" s="54"/>
      <c r="E36" s="54"/>
      <c r="F36" s="54"/>
      <c r="G36" s="54"/>
      <c r="H36" s="54"/>
      <c r="I36" s="56"/>
      <c r="J36" s="54"/>
      <c r="K36" s="54"/>
      <c r="L36" s="57"/>
      <c r="M36" s="54"/>
      <c r="N36" s="54"/>
      <c r="O36" s="54"/>
      <c r="P36" s="54"/>
      <c r="Q36" s="54"/>
      <c r="R36" s="54"/>
    </row>
    <row r="37" spans="2:18" ht="15" customHeight="1" x14ac:dyDescent="0.25">
      <c r="B37" s="326" t="str">
        <f>CHOOSE($D$14,"Karakteristieke weerstand materialen","Résistance caractéristique des matériaux","")</f>
        <v>Karakteristieke weerstand materialen</v>
      </c>
      <c r="C37" s="327"/>
      <c r="D37" s="327"/>
      <c r="E37" s="327"/>
      <c r="F37" s="327"/>
      <c r="G37" s="316" t="str">
        <f>CHOOSE($D$14,"Karakteristieke waarde","Valeur caractéristique","")</f>
        <v>Karakteristieke waarde</v>
      </c>
      <c r="H37" s="316"/>
      <c r="I37" s="316" t="str">
        <f>CHOOSE($D$14,"Partiële coëfficient","Facteur partiel","")</f>
        <v>Partiële coëfficient</v>
      </c>
      <c r="J37" s="316" t="str">
        <f>CHOOSE($D$14,"Oppervlaktefactor","Facteur de surface","")</f>
        <v>Oppervlaktefactor</v>
      </c>
      <c r="K37" s="318" t="str">
        <f>CHOOSE($D$14,"Elasticiteitsmodulus","Module d'elasticité","")</f>
        <v>Elasticiteitsmodulus</v>
      </c>
      <c r="L37" s="319"/>
      <c r="M37" s="318" t="str">
        <f>CHOOSE(Project!$D$14,"Volumemassa"," Masse volumique","","")</f>
        <v>Volumemassa</v>
      </c>
      <c r="N37" s="319"/>
      <c r="O37" s="59"/>
      <c r="P37" s="54"/>
      <c r="Q37" s="54"/>
      <c r="R37" s="54"/>
    </row>
    <row r="38" spans="2:18" ht="15" customHeight="1" x14ac:dyDescent="0.25">
      <c r="B38" s="328"/>
      <c r="C38" s="328"/>
      <c r="D38" s="328"/>
      <c r="E38" s="328"/>
      <c r="F38" s="328"/>
      <c r="G38" s="317"/>
      <c r="H38" s="317"/>
      <c r="I38" s="317"/>
      <c r="J38" s="317"/>
      <c r="K38" s="320"/>
      <c r="L38" s="321"/>
      <c r="M38" s="320"/>
      <c r="N38" s="321"/>
      <c r="O38" s="60"/>
      <c r="P38" s="54"/>
      <c r="Q38" s="54"/>
      <c r="R38" s="54"/>
    </row>
    <row r="39" spans="2:18" ht="15" customHeight="1" x14ac:dyDescent="0.35">
      <c r="B39" s="329" t="str">
        <f>CHOOSE($D$14,"Glas","Verre","Glass","Glas")</f>
        <v>Glas</v>
      </c>
      <c r="C39" s="330"/>
      <c r="D39" s="330"/>
      <c r="E39" s="330"/>
      <c r="F39" s="331"/>
      <c r="G39" s="315" t="s">
        <v>56</v>
      </c>
      <c r="H39" s="315"/>
      <c r="I39" s="97" t="s">
        <v>57</v>
      </c>
      <c r="J39" s="97" t="s">
        <v>54</v>
      </c>
      <c r="K39" s="322" t="s">
        <v>48</v>
      </c>
      <c r="L39" s="323"/>
      <c r="M39" s="324" t="s">
        <v>16</v>
      </c>
      <c r="N39" s="325"/>
      <c r="O39" s="54"/>
      <c r="P39" s="54"/>
      <c r="Q39" s="54"/>
      <c r="R39" s="54"/>
    </row>
    <row r="40" spans="2:18" ht="15" customHeight="1" x14ac:dyDescent="0.25">
      <c r="B40" s="85" t="str">
        <f>CHOOSE($D$14,"uitgegloeid glas (float) (EN 572-1)","verre recuit (EN 572-1)","")</f>
        <v>uitgegloeid glas (float) (EN 572-1)</v>
      </c>
      <c r="C40" s="74"/>
      <c r="D40" s="74"/>
      <c r="E40" s="74"/>
      <c r="F40" s="74"/>
      <c r="G40" s="71">
        <v>45</v>
      </c>
      <c r="H40" s="69" t="s">
        <v>51</v>
      </c>
      <c r="I40" s="86">
        <v>1.8</v>
      </c>
      <c r="J40" s="99">
        <v>1</v>
      </c>
      <c r="K40" s="87">
        <v>70000</v>
      </c>
      <c r="L40" s="69" t="s">
        <v>51</v>
      </c>
      <c r="M40" s="71">
        <v>2500</v>
      </c>
      <c r="N40" s="72" t="s">
        <v>33</v>
      </c>
      <c r="O40" s="54"/>
      <c r="P40" s="54"/>
      <c r="Q40" s="54"/>
      <c r="R40" s="54"/>
    </row>
    <row r="41" spans="2:18" ht="15" customHeight="1" x14ac:dyDescent="0.25">
      <c r="B41" s="78" t="str">
        <f>CHOOSE($D$14,"half gehard glas (EN 1863-1)","verre durcit (EN 1863-1)","")</f>
        <v>half gehard glas (EN 1863-1)</v>
      </c>
      <c r="C41" s="77"/>
      <c r="D41" s="77"/>
      <c r="E41" s="77"/>
      <c r="F41" s="77"/>
      <c r="G41" s="68">
        <v>70</v>
      </c>
      <c r="H41" s="69" t="s">
        <v>51</v>
      </c>
      <c r="I41" s="88">
        <v>1.8</v>
      </c>
      <c r="J41" s="100">
        <v>1</v>
      </c>
      <c r="K41" s="89">
        <v>70000</v>
      </c>
      <c r="L41" s="69" t="s">
        <v>51</v>
      </c>
      <c r="M41" s="68">
        <v>2500</v>
      </c>
      <c r="N41" s="69" t="s">
        <v>33</v>
      </c>
      <c r="O41" s="54"/>
      <c r="P41" s="54"/>
      <c r="Q41" s="54"/>
      <c r="R41" s="54"/>
    </row>
    <row r="42" spans="2:18" ht="15" customHeight="1" x14ac:dyDescent="0.25">
      <c r="B42" s="79" t="str">
        <f>CHOOSE($D$14,"gehard glas (EN1250-1)","verre trempé (EN1250-1)","")</f>
        <v>gehard glas (EN1250-1)</v>
      </c>
      <c r="C42" s="80"/>
      <c r="D42" s="80"/>
      <c r="E42" s="80"/>
      <c r="F42" s="80"/>
      <c r="G42" s="82">
        <v>120</v>
      </c>
      <c r="H42" s="263" t="s">
        <v>51</v>
      </c>
      <c r="I42" s="90">
        <v>1.8</v>
      </c>
      <c r="J42" s="101">
        <v>1</v>
      </c>
      <c r="K42" s="91">
        <v>70000</v>
      </c>
      <c r="L42" s="263" t="s">
        <v>51</v>
      </c>
      <c r="M42" s="82">
        <v>2500</v>
      </c>
      <c r="N42" s="81" t="s">
        <v>33</v>
      </c>
      <c r="O42" s="54"/>
      <c r="P42" s="54"/>
      <c r="Q42" s="54"/>
      <c r="R42" s="54"/>
    </row>
    <row r="43" spans="2:18" x14ac:dyDescent="0.25">
      <c r="O43" s="58"/>
    </row>
    <row r="44" spans="2:18" x14ac:dyDescent="0.25">
      <c r="B44" s="4" t="str">
        <f>CHOOSE(Project!$D$14,"Bijkomende informatie","Informations supplémentaires","............",".....................")</f>
        <v>Bijkomende informatie</v>
      </c>
    </row>
    <row r="45" spans="2:18" x14ac:dyDescent="0.25">
      <c r="B45" s="290"/>
      <c r="C45" s="291"/>
      <c r="D45" s="291"/>
      <c r="E45" s="291"/>
      <c r="F45" s="291"/>
      <c r="G45" s="291"/>
      <c r="H45" s="291"/>
      <c r="I45" s="291"/>
      <c r="J45" s="291"/>
      <c r="K45" s="291"/>
      <c r="L45" s="291"/>
      <c r="M45" s="291"/>
      <c r="N45" s="291"/>
      <c r="O45" s="291"/>
      <c r="P45" s="291"/>
      <c r="Q45" s="291"/>
      <c r="R45" s="292"/>
    </row>
    <row r="46" spans="2:18" x14ac:dyDescent="0.25">
      <c r="B46" s="284"/>
      <c r="C46" s="285"/>
      <c r="D46" s="285"/>
      <c r="E46" s="285"/>
      <c r="F46" s="285"/>
      <c r="G46" s="285"/>
      <c r="H46" s="285"/>
      <c r="I46" s="285"/>
      <c r="J46" s="285"/>
      <c r="K46" s="285"/>
      <c r="L46" s="285"/>
      <c r="M46" s="285"/>
      <c r="N46" s="285"/>
      <c r="O46" s="285"/>
      <c r="P46" s="285"/>
      <c r="Q46" s="285"/>
      <c r="R46" s="286"/>
    </row>
    <row r="47" spans="2:18" x14ac:dyDescent="0.25">
      <c r="B47" s="284"/>
      <c r="C47" s="285"/>
      <c r="D47" s="285"/>
      <c r="E47" s="285"/>
      <c r="F47" s="285"/>
      <c r="G47" s="285"/>
      <c r="H47" s="285"/>
      <c r="I47" s="285"/>
      <c r="J47" s="285"/>
      <c r="K47" s="285"/>
      <c r="L47" s="285"/>
      <c r="M47" s="285"/>
      <c r="N47" s="285"/>
      <c r="O47" s="285"/>
      <c r="P47" s="285"/>
      <c r="Q47" s="285"/>
      <c r="R47" s="286"/>
    </row>
    <row r="48" spans="2:18" x14ac:dyDescent="0.25">
      <c r="B48" s="284"/>
      <c r="C48" s="285"/>
      <c r="D48" s="285"/>
      <c r="E48" s="285"/>
      <c r="F48" s="285"/>
      <c r="G48" s="285"/>
      <c r="H48" s="285"/>
      <c r="I48" s="285"/>
      <c r="J48" s="285"/>
      <c r="K48" s="285"/>
      <c r="L48" s="285"/>
      <c r="M48" s="285"/>
      <c r="N48" s="285"/>
      <c r="O48" s="285"/>
      <c r="P48" s="285"/>
      <c r="Q48" s="285"/>
      <c r="R48" s="286"/>
    </row>
    <row r="49" spans="2:18" x14ac:dyDescent="0.25">
      <c r="B49" s="284"/>
      <c r="C49" s="285"/>
      <c r="D49" s="285"/>
      <c r="E49" s="285"/>
      <c r="F49" s="285"/>
      <c r="G49" s="285"/>
      <c r="H49" s="285"/>
      <c r="I49" s="285"/>
      <c r="J49" s="285"/>
      <c r="K49" s="285"/>
      <c r="L49" s="285"/>
      <c r="M49" s="285"/>
      <c r="N49" s="285"/>
      <c r="O49" s="285"/>
      <c r="P49" s="285"/>
      <c r="Q49" s="285"/>
      <c r="R49" s="286"/>
    </row>
    <row r="50" spans="2:18" x14ac:dyDescent="0.25">
      <c r="B50" s="284"/>
      <c r="C50" s="285"/>
      <c r="D50" s="285"/>
      <c r="E50" s="285"/>
      <c r="F50" s="285"/>
      <c r="G50" s="285"/>
      <c r="H50" s="285"/>
      <c r="I50" s="285"/>
      <c r="J50" s="285"/>
      <c r="K50" s="285"/>
      <c r="L50" s="285"/>
      <c r="M50" s="285"/>
      <c r="N50" s="285"/>
      <c r="O50" s="285"/>
      <c r="P50" s="285"/>
      <c r="Q50" s="285"/>
      <c r="R50" s="286"/>
    </row>
    <row r="51" spans="2:18" x14ac:dyDescent="0.25">
      <c r="B51" s="284"/>
      <c r="C51" s="285"/>
      <c r="D51" s="285"/>
      <c r="E51" s="285"/>
      <c r="F51" s="285"/>
      <c r="G51" s="285"/>
      <c r="H51" s="285"/>
      <c r="I51" s="285"/>
      <c r="J51" s="285"/>
      <c r="K51" s="285"/>
      <c r="L51" s="285"/>
      <c r="M51" s="285"/>
      <c r="N51" s="285"/>
      <c r="O51" s="285"/>
      <c r="P51" s="285"/>
      <c r="Q51" s="285"/>
      <c r="R51" s="286"/>
    </row>
    <row r="52" spans="2:18" x14ac:dyDescent="0.25">
      <c r="B52" s="284"/>
      <c r="C52" s="285"/>
      <c r="D52" s="285"/>
      <c r="E52" s="285"/>
      <c r="F52" s="285"/>
      <c r="G52" s="285"/>
      <c r="H52" s="285"/>
      <c r="I52" s="285"/>
      <c r="J52" s="285"/>
      <c r="K52" s="285"/>
      <c r="L52" s="285"/>
      <c r="M52" s="285"/>
      <c r="N52" s="285"/>
      <c r="O52" s="285"/>
      <c r="P52" s="285"/>
      <c r="Q52" s="285"/>
      <c r="R52" s="286"/>
    </row>
    <row r="53" spans="2:18" x14ac:dyDescent="0.25">
      <c r="B53" s="284"/>
      <c r="C53" s="285"/>
      <c r="D53" s="285"/>
      <c r="E53" s="285"/>
      <c r="F53" s="285"/>
      <c r="G53" s="285"/>
      <c r="H53" s="285"/>
      <c r="I53" s="285"/>
      <c r="J53" s="285"/>
      <c r="K53" s="285"/>
      <c r="L53" s="285"/>
      <c r="M53" s="285"/>
      <c r="N53" s="285"/>
      <c r="O53" s="285"/>
      <c r="P53" s="285"/>
      <c r="Q53" s="285"/>
      <c r="R53" s="286"/>
    </row>
    <row r="54" spans="2:18" x14ac:dyDescent="0.25">
      <c r="B54" s="284"/>
      <c r="C54" s="285"/>
      <c r="D54" s="285"/>
      <c r="E54" s="285"/>
      <c r="F54" s="285"/>
      <c r="G54" s="285"/>
      <c r="H54" s="285"/>
      <c r="I54" s="285"/>
      <c r="J54" s="285"/>
      <c r="K54" s="285"/>
      <c r="L54" s="285"/>
      <c r="M54" s="285"/>
      <c r="N54" s="285"/>
      <c r="O54" s="285"/>
      <c r="P54" s="285"/>
      <c r="Q54" s="285"/>
      <c r="R54" s="286"/>
    </row>
    <row r="55" spans="2:18" x14ac:dyDescent="0.25">
      <c r="B55" s="284"/>
      <c r="C55" s="285"/>
      <c r="D55" s="285"/>
      <c r="E55" s="285"/>
      <c r="F55" s="285"/>
      <c r="G55" s="285"/>
      <c r="H55" s="285"/>
      <c r="I55" s="285"/>
      <c r="J55" s="285"/>
      <c r="K55" s="285"/>
      <c r="L55" s="285"/>
      <c r="M55" s="285"/>
      <c r="N55" s="285"/>
      <c r="O55" s="285"/>
      <c r="P55" s="285"/>
      <c r="Q55" s="285"/>
      <c r="R55" s="286"/>
    </row>
    <row r="56" spans="2:18" x14ac:dyDescent="0.25">
      <c r="B56" s="287"/>
      <c r="C56" s="288"/>
      <c r="D56" s="288"/>
      <c r="E56" s="288"/>
      <c r="F56" s="288"/>
      <c r="G56" s="288"/>
      <c r="H56" s="288"/>
      <c r="I56" s="288"/>
      <c r="J56" s="288"/>
      <c r="K56" s="288"/>
      <c r="L56" s="288"/>
      <c r="M56" s="288"/>
      <c r="N56" s="288"/>
      <c r="O56" s="288"/>
      <c r="P56" s="288"/>
      <c r="Q56" s="288"/>
      <c r="R56" s="289"/>
    </row>
    <row r="57" spans="2:18" x14ac:dyDescent="0.25">
      <c r="B57" s="173"/>
      <c r="C57" s="173"/>
      <c r="D57" s="173"/>
      <c r="E57" s="173"/>
      <c r="F57" s="173"/>
      <c r="G57" s="173"/>
      <c r="H57" s="173"/>
      <c r="I57" s="173"/>
      <c r="J57" s="173"/>
      <c r="K57" s="173"/>
      <c r="L57" s="173"/>
      <c r="M57" s="173"/>
      <c r="N57" s="173"/>
      <c r="O57" s="173"/>
      <c r="P57" s="173"/>
      <c r="Q57" s="173"/>
      <c r="R57" s="173"/>
    </row>
    <row r="58" spans="2:18" x14ac:dyDescent="0.25">
      <c r="B58" s="4" t="str">
        <f>CHOOSE(Project!$D$14,"Windzonebepaling","determination zone de vent","............",".....................")</f>
        <v>Windzonebepaling</v>
      </c>
      <c r="C58" s="106"/>
      <c r="D58" s="106"/>
      <c r="E58" s="106"/>
      <c r="F58" s="106"/>
      <c r="G58" s="106"/>
      <c r="H58" s="106"/>
      <c r="I58" s="106"/>
      <c r="J58" s="106"/>
      <c r="K58" s="106"/>
      <c r="L58" s="106"/>
      <c r="M58" s="106"/>
      <c r="N58" s="106"/>
      <c r="O58" s="106"/>
      <c r="P58" s="106"/>
      <c r="Q58" s="106"/>
      <c r="R58" s="106"/>
    </row>
    <row r="59" spans="2:18" x14ac:dyDescent="0.25">
      <c r="B59" s="106"/>
      <c r="C59" s="106"/>
      <c r="D59" s="106"/>
      <c r="E59" s="106"/>
      <c r="F59" s="106"/>
      <c r="G59" s="106"/>
      <c r="H59" s="106"/>
      <c r="I59" s="106"/>
      <c r="J59" s="106"/>
      <c r="K59" s="106"/>
      <c r="L59" s="106"/>
      <c r="M59" s="106"/>
      <c r="N59" s="106"/>
      <c r="O59" s="106"/>
      <c r="P59" s="106"/>
      <c r="Q59" s="106"/>
      <c r="R59" s="106"/>
    </row>
    <row r="60" spans="2:18" x14ac:dyDescent="0.25">
      <c r="B60" s="106"/>
      <c r="C60" s="106"/>
      <c r="D60" s="106"/>
      <c r="E60" s="106"/>
      <c r="F60" s="106"/>
      <c r="G60" s="106"/>
      <c r="H60" s="106"/>
      <c r="I60" s="106"/>
      <c r="J60" s="106"/>
      <c r="K60" s="106"/>
      <c r="L60" s="106"/>
      <c r="M60" s="106"/>
      <c r="N60" s="106"/>
      <c r="O60" s="106"/>
      <c r="P60" s="106"/>
      <c r="Q60" s="106"/>
      <c r="R60" s="106"/>
    </row>
    <row r="61" spans="2:18" x14ac:dyDescent="0.25">
      <c r="B61" s="106"/>
      <c r="C61" s="106"/>
      <c r="D61" s="106"/>
      <c r="E61" s="106"/>
      <c r="F61" s="106"/>
      <c r="G61" s="106"/>
      <c r="H61" s="106"/>
      <c r="I61" s="106"/>
      <c r="J61" s="106"/>
      <c r="K61" s="106"/>
      <c r="L61" s="106"/>
      <c r="M61" s="106"/>
      <c r="N61" s="106"/>
      <c r="O61" s="106"/>
      <c r="P61" s="106"/>
      <c r="Q61" s="106"/>
      <c r="R61" s="106"/>
    </row>
    <row r="62" spans="2:18" x14ac:dyDescent="0.25">
      <c r="B62" s="106"/>
      <c r="C62" s="106"/>
      <c r="D62" s="106"/>
      <c r="E62" s="106"/>
      <c r="F62" s="106"/>
      <c r="G62" s="106"/>
      <c r="H62" s="106"/>
      <c r="I62" s="106"/>
      <c r="J62" s="106"/>
      <c r="K62" s="106"/>
      <c r="L62" s="106"/>
      <c r="M62" s="106"/>
      <c r="N62" s="106"/>
      <c r="O62" s="106"/>
      <c r="P62" s="106"/>
      <c r="Q62" s="106"/>
      <c r="R62" s="106"/>
    </row>
    <row r="63" spans="2:18" x14ac:dyDescent="0.25">
      <c r="B63" s="106"/>
      <c r="C63" s="106"/>
      <c r="D63" s="106"/>
      <c r="E63" s="106"/>
      <c r="F63" s="106"/>
      <c r="G63" s="106"/>
      <c r="H63" s="106"/>
      <c r="I63" s="106"/>
      <c r="J63" s="106"/>
      <c r="K63" s="106"/>
      <c r="L63" s="106"/>
      <c r="M63" s="106"/>
      <c r="N63" s="106"/>
      <c r="O63" s="106"/>
      <c r="P63" s="106"/>
      <c r="Q63" s="106"/>
      <c r="R63" s="106"/>
    </row>
    <row r="64" spans="2:18" x14ac:dyDescent="0.25">
      <c r="B64" s="106"/>
      <c r="C64" s="106"/>
      <c r="D64" s="106"/>
      <c r="E64" s="106"/>
      <c r="F64" s="106"/>
      <c r="G64" s="106"/>
      <c r="H64" s="106"/>
      <c r="I64" s="106"/>
      <c r="J64" s="106"/>
      <c r="K64" s="106"/>
      <c r="L64" s="106"/>
      <c r="M64" s="106"/>
      <c r="N64" s="106"/>
      <c r="O64" s="106"/>
      <c r="P64" s="106"/>
      <c r="Q64" s="106"/>
      <c r="R64" s="106"/>
    </row>
    <row r="65" spans="2:18" x14ac:dyDescent="0.25">
      <c r="B65" s="106"/>
      <c r="C65" s="106"/>
      <c r="D65" s="106"/>
      <c r="E65" s="106"/>
      <c r="F65" s="106"/>
      <c r="G65" s="106"/>
      <c r="H65" s="106"/>
      <c r="I65" s="106"/>
      <c r="J65" s="106"/>
      <c r="K65" s="106"/>
      <c r="L65" s="106"/>
      <c r="M65" s="106"/>
      <c r="N65" s="106"/>
      <c r="O65" s="106"/>
      <c r="P65" s="106"/>
      <c r="Q65" s="106"/>
      <c r="R65" s="106"/>
    </row>
    <row r="66" spans="2:18" x14ac:dyDescent="0.25">
      <c r="B66" s="106"/>
      <c r="C66" s="106"/>
      <c r="D66" s="106"/>
      <c r="E66" s="106"/>
      <c r="F66" s="106"/>
      <c r="G66" s="106"/>
      <c r="H66" s="106"/>
      <c r="I66" s="106"/>
      <c r="J66" s="106"/>
      <c r="K66" s="106"/>
      <c r="L66" s="106"/>
      <c r="M66" s="106"/>
      <c r="N66" s="106"/>
      <c r="O66" s="106"/>
      <c r="P66" s="106"/>
      <c r="Q66" s="106"/>
      <c r="R66" s="106"/>
    </row>
    <row r="67" spans="2:18" x14ac:dyDescent="0.25">
      <c r="B67" s="106"/>
      <c r="C67" s="106"/>
      <c r="D67" s="106"/>
      <c r="E67" s="106"/>
      <c r="F67" s="106"/>
      <c r="G67" s="106"/>
      <c r="H67" s="106"/>
      <c r="I67" s="106"/>
      <c r="J67" s="106"/>
      <c r="K67" s="106"/>
      <c r="L67" s="106"/>
      <c r="M67" s="106"/>
      <c r="N67" s="106"/>
      <c r="O67" s="106"/>
      <c r="P67" s="106"/>
      <c r="Q67" s="106"/>
      <c r="R67" s="106"/>
    </row>
    <row r="68" spans="2:18" x14ac:dyDescent="0.25">
      <c r="B68" s="106"/>
      <c r="C68" s="106"/>
      <c r="D68" s="106"/>
      <c r="E68" s="106"/>
      <c r="F68" s="106"/>
      <c r="G68" s="106"/>
      <c r="H68" s="106"/>
      <c r="I68" s="106"/>
      <c r="J68" s="106"/>
      <c r="K68" s="106"/>
      <c r="L68" s="106"/>
      <c r="M68" s="106"/>
      <c r="N68" s="106"/>
      <c r="O68" s="106"/>
      <c r="P68" s="106"/>
      <c r="Q68" s="106"/>
      <c r="R68" s="106"/>
    </row>
    <row r="69" spans="2:18" x14ac:dyDescent="0.25">
      <c r="B69" s="106"/>
      <c r="C69" s="106"/>
      <c r="D69" s="106"/>
      <c r="E69" s="106"/>
      <c r="F69" s="106"/>
      <c r="G69" s="106"/>
      <c r="H69" s="106"/>
      <c r="I69" s="106"/>
      <c r="J69" s="106"/>
      <c r="K69" s="106"/>
      <c r="L69" s="106"/>
      <c r="M69" s="106"/>
      <c r="N69" s="106"/>
      <c r="O69" s="106"/>
      <c r="P69" s="106"/>
      <c r="Q69" s="106"/>
      <c r="R69" s="106"/>
    </row>
    <row r="70" spans="2:18" x14ac:dyDescent="0.25">
      <c r="B70" s="106"/>
      <c r="C70" s="106"/>
      <c r="D70" s="106"/>
      <c r="E70" s="106"/>
      <c r="F70" s="106"/>
      <c r="G70" s="106"/>
      <c r="H70" s="106"/>
      <c r="I70" s="106"/>
      <c r="J70" s="106"/>
      <c r="K70" s="106"/>
      <c r="L70" s="106"/>
      <c r="M70" s="106"/>
      <c r="N70" s="106"/>
      <c r="O70" s="106"/>
      <c r="P70" s="106"/>
      <c r="Q70" s="106"/>
      <c r="R70" s="106"/>
    </row>
    <row r="71" spans="2:18" x14ac:dyDescent="0.25">
      <c r="B71" s="106"/>
      <c r="C71" s="106"/>
      <c r="D71" s="106"/>
      <c r="E71" s="106"/>
      <c r="F71" s="106"/>
      <c r="G71" s="106"/>
      <c r="H71" s="106"/>
      <c r="I71" s="106"/>
      <c r="J71" s="106"/>
      <c r="K71" s="106"/>
      <c r="L71" s="106"/>
      <c r="M71" s="106"/>
      <c r="N71" s="106"/>
      <c r="O71" s="106"/>
      <c r="P71" s="106"/>
      <c r="Q71" s="106"/>
      <c r="R71" s="106"/>
    </row>
    <row r="72" spans="2:18" x14ac:dyDescent="0.25">
      <c r="B72" s="106"/>
      <c r="C72" s="106"/>
      <c r="D72" s="106"/>
      <c r="E72" s="106"/>
      <c r="F72" s="106"/>
      <c r="G72" s="106"/>
      <c r="H72" s="106"/>
      <c r="I72" s="106"/>
      <c r="J72" s="106"/>
      <c r="K72" s="106"/>
      <c r="L72" s="106"/>
      <c r="M72" s="106"/>
      <c r="N72" s="106"/>
      <c r="O72" s="106"/>
      <c r="P72" s="106"/>
      <c r="Q72" s="106"/>
      <c r="R72" s="106"/>
    </row>
    <row r="73" spans="2:18" x14ac:dyDescent="0.25">
      <c r="B73" s="106"/>
      <c r="C73" s="106"/>
      <c r="D73" s="106"/>
      <c r="E73" s="106"/>
      <c r="F73" s="106"/>
      <c r="G73" s="106"/>
      <c r="H73" s="106"/>
      <c r="I73" s="106"/>
      <c r="J73" s="106"/>
      <c r="K73" s="106"/>
      <c r="L73" s="106"/>
      <c r="M73" s="106"/>
      <c r="N73" s="106"/>
      <c r="O73" s="106"/>
      <c r="P73" s="106"/>
      <c r="Q73" s="106"/>
      <c r="R73" s="106"/>
    </row>
    <row r="74" spans="2:18" x14ac:dyDescent="0.25">
      <c r="B74" s="106"/>
      <c r="C74" s="106"/>
      <c r="D74" s="106"/>
      <c r="E74" s="106"/>
      <c r="F74" s="106"/>
      <c r="G74" s="106"/>
      <c r="H74" s="106"/>
      <c r="I74" s="106"/>
      <c r="J74" s="106"/>
      <c r="K74" s="106"/>
      <c r="L74" s="106"/>
      <c r="M74" s="106"/>
      <c r="N74" s="106"/>
      <c r="O74" s="106"/>
      <c r="P74" s="106"/>
      <c r="Q74" s="106"/>
      <c r="R74" s="106"/>
    </row>
    <row r="75" spans="2:18" x14ac:dyDescent="0.25">
      <c r="B75" s="106"/>
      <c r="C75" s="106"/>
      <c r="D75" s="106"/>
      <c r="E75" s="106"/>
      <c r="F75" s="106"/>
      <c r="G75" s="106"/>
      <c r="H75" s="106"/>
      <c r="I75" s="106"/>
      <c r="J75" s="106"/>
      <c r="K75" s="106"/>
      <c r="L75" s="106"/>
      <c r="M75" s="106"/>
      <c r="N75" s="106"/>
      <c r="O75" s="106"/>
      <c r="P75" s="106"/>
      <c r="Q75" s="106"/>
      <c r="R75" s="106"/>
    </row>
    <row r="76" spans="2:18" x14ac:dyDescent="0.25">
      <c r="B76" s="106"/>
      <c r="C76" s="106"/>
      <c r="D76" s="106"/>
      <c r="E76" s="106"/>
      <c r="F76" s="106"/>
      <c r="G76" s="106"/>
      <c r="H76" s="106"/>
      <c r="I76" s="106"/>
      <c r="J76" s="106"/>
      <c r="K76" s="106"/>
      <c r="L76" s="106"/>
      <c r="M76" s="106"/>
      <c r="N76" s="106"/>
      <c r="O76" s="106"/>
      <c r="P76" s="106"/>
      <c r="Q76" s="106"/>
      <c r="R76" s="106"/>
    </row>
    <row r="77" spans="2:18" x14ac:dyDescent="0.25">
      <c r="B77" s="106"/>
      <c r="C77" s="106"/>
      <c r="D77" s="106"/>
      <c r="E77" s="106"/>
      <c r="F77" s="106"/>
      <c r="G77" s="106"/>
      <c r="H77" s="106"/>
      <c r="I77" s="106"/>
      <c r="J77" s="106"/>
      <c r="K77" s="106"/>
      <c r="L77" s="106"/>
      <c r="M77" s="106"/>
      <c r="N77" s="106"/>
      <c r="O77" s="106"/>
      <c r="P77" s="106"/>
      <c r="Q77" s="106"/>
      <c r="R77" s="106"/>
    </row>
    <row r="78" spans="2:18" x14ac:dyDescent="0.25">
      <c r="B78" s="106"/>
      <c r="C78" s="106"/>
      <c r="D78" s="106"/>
      <c r="E78" s="106"/>
      <c r="F78" s="106"/>
      <c r="G78" s="106"/>
      <c r="H78" s="106"/>
      <c r="I78" s="106"/>
      <c r="J78" s="106"/>
      <c r="K78" s="106"/>
      <c r="L78" s="106"/>
      <c r="M78" s="106"/>
      <c r="N78" s="106"/>
      <c r="O78" s="106"/>
      <c r="P78" s="106"/>
      <c r="Q78" s="106"/>
      <c r="R78" s="106"/>
    </row>
    <row r="79" spans="2:18" x14ac:dyDescent="0.25">
      <c r="B79" s="106"/>
      <c r="C79" s="106"/>
      <c r="D79" s="106"/>
      <c r="E79" s="106"/>
      <c r="F79" s="106"/>
      <c r="G79" s="106"/>
      <c r="H79" s="106"/>
      <c r="I79" s="106"/>
      <c r="J79" s="106"/>
      <c r="K79" s="106"/>
      <c r="L79" s="106"/>
      <c r="M79" s="106"/>
      <c r="N79" s="106"/>
      <c r="O79" s="106"/>
      <c r="P79" s="106"/>
      <c r="Q79" s="106"/>
      <c r="R79" s="106"/>
    </row>
    <row r="80" spans="2:18" x14ac:dyDescent="0.25">
      <c r="B80" s="106"/>
      <c r="C80" s="106"/>
      <c r="D80" s="106"/>
      <c r="E80" s="106"/>
      <c r="F80" s="106"/>
      <c r="G80" s="106"/>
      <c r="H80" s="106"/>
      <c r="I80" s="106"/>
      <c r="J80" s="106"/>
      <c r="K80" s="106"/>
      <c r="L80" s="106"/>
      <c r="M80" s="106"/>
      <c r="N80" s="106"/>
      <c r="O80" s="106"/>
      <c r="P80" s="106"/>
      <c r="Q80" s="106"/>
      <c r="R80" s="106"/>
    </row>
    <row r="81" spans="2:18" x14ac:dyDescent="0.25">
      <c r="B81" s="106"/>
      <c r="C81" s="106"/>
      <c r="D81" s="106"/>
      <c r="E81" s="106"/>
      <c r="F81" s="106"/>
      <c r="G81" s="106"/>
      <c r="H81" s="106"/>
      <c r="I81" s="106"/>
      <c r="J81" s="106"/>
      <c r="K81" s="106"/>
      <c r="L81" s="106"/>
      <c r="M81" s="106"/>
      <c r="N81" s="106"/>
      <c r="O81" s="106"/>
      <c r="P81" s="106"/>
      <c r="Q81" s="106"/>
      <c r="R81" s="106"/>
    </row>
    <row r="82" spans="2:18" x14ac:dyDescent="0.25">
      <c r="B82" s="106"/>
      <c r="C82" s="106"/>
      <c r="D82" s="106"/>
      <c r="E82" s="106"/>
      <c r="F82" s="106"/>
      <c r="G82" s="106"/>
      <c r="H82" s="106"/>
      <c r="I82" s="106"/>
      <c r="J82" s="106"/>
      <c r="K82" s="106"/>
      <c r="L82" s="106"/>
      <c r="M82" s="106"/>
      <c r="N82" s="106"/>
      <c r="O82" s="106"/>
      <c r="P82" s="106"/>
      <c r="Q82" s="106"/>
      <c r="R82" s="106"/>
    </row>
    <row r="83" spans="2:18" x14ac:dyDescent="0.25">
      <c r="B83" s="106"/>
      <c r="C83" s="106"/>
      <c r="D83" s="106"/>
      <c r="E83" s="106"/>
      <c r="F83" s="106"/>
      <c r="G83" s="106"/>
      <c r="H83" s="106"/>
      <c r="I83" s="106"/>
      <c r="J83" s="106"/>
      <c r="K83" s="106"/>
      <c r="L83" s="106"/>
      <c r="M83" s="106"/>
      <c r="N83" s="106"/>
      <c r="O83" s="106"/>
      <c r="P83" s="106"/>
      <c r="Q83" s="106"/>
      <c r="R83" s="106"/>
    </row>
    <row r="84" spans="2:18" x14ac:dyDescent="0.25">
      <c r="B84" s="106"/>
      <c r="C84" s="106"/>
      <c r="D84" s="106"/>
      <c r="E84" s="106"/>
      <c r="F84" s="106"/>
      <c r="G84" s="106"/>
      <c r="H84" s="106"/>
      <c r="I84" s="106"/>
      <c r="J84" s="106"/>
      <c r="K84" s="106"/>
      <c r="L84" s="106"/>
      <c r="M84" s="106"/>
      <c r="N84" s="106"/>
      <c r="O84" s="106"/>
      <c r="P84" s="106"/>
      <c r="Q84" s="106"/>
      <c r="R84" s="106"/>
    </row>
    <row r="85" spans="2:18" x14ac:dyDescent="0.25">
      <c r="B85" s="106"/>
      <c r="C85" s="106"/>
      <c r="D85" s="106"/>
      <c r="E85" s="106"/>
      <c r="F85" s="106"/>
      <c r="G85" s="106"/>
      <c r="H85" s="106"/>
      <c r="I85" s="106"/>
      <c r="J85" s="106"/>
      <c r="K85" s="106"/>
      <c r="L85" s="106"/>
      <c r="M85" s="106"/>
      <c r="N85" s="106"/>
      <c r="O85" s="106"/>
      <c r="P85" s="106"/>
      <c r="Q85" s="106"/>
      <c r="R85" s="106"/>
    </row>
    <row r="86" spans="2:18" x14ac:dyDescent="0.25">
      <c r="B86" s="106"/>
      <c r="C86" s="106"/>
      <c r="D86" s="106"/>
      <c r="E86" s="106"/>
      <c r="F86" s="106"/>
      <c r="G86" s="106"/>
      <c r="H86" s="106"/>
      <c r="I86" s="106"/>
      <c r="J86" s="106"/>
      <c r="K86" s="106"/>
      <c r="L86" s="106"/>
      <c r="M86" s="106"/>
      <c r="N86" s="106"/>
      <c r="O86" s="106"/>
      <c r="P86" s="106"/>
      <c r="Q86" s="106"/>
      <c r="R86" s="106"/>
    </row>
    <row r="87" spans="2:18" x14ac:dyDescent="0.25">
      <c r="B87" s="106"/>
      <c r="C87" s="106"/>
      <c r="D87" s="106"/>
      <c r="E87" s="106"/>
      <c r="F87" s="106"/>
      <c r="G87" s="106"/>
      <c r="H87" s="106"/>
      <c r="I87" s="106"/>
      <c r="J87" s="106"/>
      <c r="K87" s="106"/>
      <c r="L87" s="106"/>
      <c r="M87" s="106"/>
      <c r="N87" s="106"/>
      <c r="O87" s="106"/>
      <c r="P87" s="106"/>
      <c r="Q87" s="106"/>
      <c r="R87" s="106"/>
    </row>
    <row r="88" spans="2:18" x14ac:dyDescent="0.25">
      <c r="B88" s="106"/>
      <c r="C88" s="106"/>
      <c r="D88" s="106"/>
      <c r="E88" s="106"/>
      <c r="F88" s="106"/>
      <c r="G88" s="106"/>
      <c r="H88" s="106"/>
      <c r="I88" s="106"/>
      <c r="J88" s="106"/>
      <c r="K88" s="106"/>
      <c r="L88" s="106"/>
      <c r="M88" s="106"/>
      <c r="N88" s="106"/>
      <c r="O88" s="106"/>
      <c r="P88" s="106"/>
      <c r="Q88" s="106"/>
      <c r="R88" s="106"/>
    </row>
    <row r="89" spans="2:18" x14ac:dyDescent="0.25">
      <c r="B89" s="106"/>
      <c r="C89" s="106"/>
      <c r="D89" s="106"/>
      <c r="E89" s="106"/>
      <c r="F89" s="106"/>
      <c r="G89" s="106"/>
      <c r="H89" s="106"/>
      <c r="I89" s="106"/>
      <c r="J89" s="106"/>
      <c r="K89" s="106"/>
      <c r="L89" s="106"/>
      <c r="M89" s="106"/>
      <c r="N89" s="106"/>
      <c r="O89" s="106"/>
      <c r="P89" s="106"/>
      <c r="Q89" s="106"/>
      <c r="R89" s="106"/>
    </row>
    <row r="90" spans="2:18" x14ac:dyDescent="0.25">
      <c r="B90" s="106"/>
      <c r="C90" s="106"/>
      <c r="D90" s="106"/>
      <c r="E90" s="106"/>
      <c r="F90" s="106"/>
      <c r="G90" s="106"/>
      <c r="H90" s="106"/>
      <c r="I90" s="106"/>
      <c r="J90" s="106"/>
      <c r="K90" s="106"/>
      <c r="L90" s="106"/>
      <c r="M90" s="106"/>
      <c r="N90" s="106"/>
      <c r="O90" s="106"/>
      <c r="P90" s="106"/>
      <c r="Q90" s="106"/>
      <c r="R90" s="106"/>
    </row>
    <row r="91" spans="2:18" x14ac:dyDescent="0.25">
      <c r="B91" s="106"/>
      <c r="C91" s="106"/>
      <c r="D91" s="106"/>
      <c r="E91" s="106"/>
      <c r="F91" s="106"/>
      <c r="G91" s="106"/>
      <c r="H91" s="106"/>
      <c r="I91" s="106"/>
      <c r="J91" s="106"/>
      <c r="K91" s="106"/>
      <c r="L91" s="106"/>
      <c r="M91" s="106"/>
      <c r="N91" s="106"/>
      <c r="O91" s="106"/>
      <c r="P91" s="106"/>
      <c r="Q91" s="106"/>
      <c r="R91" s="106"/>
    </row>
    <row r="92" spans="2:18" x14ac:dyDescent="0.25">
      <c r="B92" s="106"/>
      <c r="C92" s="106"/>
      <c r="D92" s="106"/>
      <c r="E92" s="106"/>
      <c r="F92" s="106"/>
      <c r="G92" s="106"/>
      <c r="H92" s="106"/>
      <c r="I92" s="106"/>
      <c r="J92" s="106"/>
      <c r="K92" s="106"/>
      <c r="L92" s="106"/>
      <c r="M92" s="106"/>
      <c r="N92" s="106"/>
      <c r="O92" s="106"/>
      <c r="P92" s="106"/>
      <c r="Q92" s="106"/>
      <c r="R92" s="106"/>
    </row>
    <row r="93" spans="2:18" x14ac:dyDescent="0.25">
      <c r="B93" s="106"/>
      <c r="C93" s="106"/>
      <c r="D93" s="106"/>
      <c r="E93" s="106"/>
      <c r="F93" s="106"/>
      <c r="G93" s="106"/>
      <c r="H93" s="106"/>
      <c r="I93" s="106"/>
      <c r="J93" s="106"/>
      <c r="K93" s="106"/>
      <c r="L93" s="106"/>
      <c r="M93" s="106"/>
      <c r="N93" s="106"/>
      <c r="O93" s="106"/>
      <c r="P93" s="106"/>
      <c r="Q93" s="106"/>
      <c r="R93" s="106"/>
    </row>
    <row r="94" spans="2:18" x14ac:dyDescent="0.25">
      <c r="B94" s="106"/>
      <c r="C94" s="106"/>
      <c r="D94" s="106"/>
      <c r="E94" s="106"/>
      <c r="F94" s="106"/>
      <c r="G94" s="106"/>
      <c r="H94" s="106"/>
      <c r="I94" s="106"/>
      <c r="J94" s="106"/>
      <c r="K94" s="106"/>
      <c r="L94" s="106"/>
      <c r="M94" s="106"/>
      <c r="N94" s="106"/>
      <c r="O94" s="106"/>
      <c r="P94" s="106"/>
      <c r="Q94" s="106"/>
      <c r="R94" s="106"/>
    </row>
    <row r="95" spans="2:18" x14ac:dyDescent="0.25">
      <c r="B95" s="106"/>
      <c r="C95" s="106"/>
      <c r="D95" s="106"/>
      <c r="E95" s="106"/>
      <c r="F95" s="106"/>
      <c r="G95" s="106"/>
      <c r="H95" s="106"/>
      <c r="I95" s="106"/>
      <c r="J95" s="106"/>
      <c r="K95" s="106"/>
      <c r="L95" s="106"/>
      <c r="M95" s="106"/>
      <c r="N95" s="106"/>
      <c r="O95" s="106"/>
      <c r="P95" s="106"/>
      <c r="Q95" s="106"/>
      <c r="R95" s="106"/>
    </row>
    <row r="96" spans="2:18" x14ac:dyDescent="0.25">
      <c r="B96" s="106"/>
      <c r="C96" s="106"/>
      <c r="D96" s="106"/>
      <c r="E96" s="106"/>
      <c r="F96" s="106"/>
      <c r="G96" s="106"/>
      <c r="H96" s="106"/>
      <c r="I96" s="106"/>
      <c r="J96" s="106"/>
      <c r="K96" s="106"/>
      <c r="L96" s="106"/>
      <c r="M96" s="106"/>
      <c r="N96" s="106"/>
      <c r="O96" s="106"/>
      <c r="P96" s="106"/>
      <c r="Q96" s="106"/>
      <c r="R96" s="106"/>
    </row>
    <row r="97" spans="2:18" x14ac:dyDescent="0.25">
      <c r="B97" s="106"/>
      <c r="C97" s="106"/>
      <c r="D97" s="106"/>
      <c r="E97" s="106"/>
      <c r="F97" s="106"/>
      <c r="G97" s="106"/>
      <c r="H97" s="106"/>
      <c r="I97" s="106"/>
      <c r="J97" s="106"/>
      <c r="K97" s="106"/>
      <c r="L97" s="106"/>
      <c r="M97" s="106"/>
      <c r="N97" s="106"/>
      <c r="O97" s="106"/>
      <c r="P97" s="106"/>
      <c r="Q97" s="106"/>
      <c r="R97" s="106"/>
    </row>
    <row r="98" spans="2:18" x14ac:dyDescent="0.25">
      <c r="B98" s="106"/>
      <c r="C98" s="106"/>
      <c r="D98" s="106"/>
      <c r="E98" s="106"/>
      <c r="F98" s="106"/>
      <c r="G98" s="106"/>
      <c r="H98" s="106"/>
      <c r="I98" s="106"/>
      <c r="J98" s="106"/>
      <c r="K98" s="106"/>
      <c r="L98" s="106"/>
      <c r="M98" s="106"/>
      <c r="N98" s="106"/>
      <c r="O98" s="106"/>
      <c r="P98" s="106"/>
      <c r="Q98" s="106"/>
      <c r="R98" s="106"/>
    </row>
  </sheetData>
  <sheetProtection algorithmName="SHA-512" hashValue="918TfSZMKc4kz9z/NGW5SjpmHiEfWTXsPhcKKTbyFa+jq+h2wGUXTI//QgsDg3CZu4sR8kcDj55Zb/fChVLG3Q==" saltValue="dmvbCIACG1EvgX8ubToq9w==" spinCount="100000" sheet="1" objects="1" scenarios="1" selectLockedCells="1"/>
  <mergeCells count="58">
    <mergeCell ref="B27:F27"/>
    <mergeCell ref="B37:F38"/>
    <mergeCell ref="B39:F39"/>
    <mergeCell ref="J27:K27"/>
    <mergeCell ref="G27:H27"/>
    <mergeCell ref="I25:I26"/>
    <mergeCell ref="J25:K26"/>
    <mergeCell ref="L25:M26"/>
    <mergeCell ref="N25:O26"/>
    <mergeCell ref="B25:F26"/>
    <mergeCell ref="G25:H26"/>
    <mergeCell ref="L27:M27"/>
    <mergeCell ref="G39:H39"/>
    <mergeCell ref="G37:H38"/>
    <mergeCell ref="I37:I38"/>
    <mergeCell ref="J37:J38"/>
    <mergeCell ref="K37:L38"/>
    <mergeCell ref="K39:L39"/>
    <mergeCell ref="M37:N38"/>
    <mergeCell ref="M39:N39"/>
    <mergeCell ref="N27:O27"/>
    <mergeCell ref="D12:R12"/>
    <mergeCell ref="D13:R13"/>
    <mergeCell ref="F14:R14"/>
    <mergeCell ref="D4:R4"/>
    <mergeCell ref="D5:R5"/>
    <mergeCell ref="D6:R6"/>
    <mergeCell ref="D7:R7"/>
    <mergeCell ref="D9:R9"/>
    <mergeCell ref="F8:R8"/>
    <mergeCell ref="D15:R15"/>
    <mergeCell ref="B4:C4"/>
    <mergeCell ref="B5:C5"/>
    <mergeCell ref="B6:C6"/>
    <mergeCell ref="B2:R2"/>
    <mergeCell ref="B7:C7"/>
    <mergeCell ref="B8:C8"/>
    <mergeCell ref="B9:C9"/>
    <mergeCell ref="B10:C10"/>
    <mergeCell ref="B11:C11"/>
    <mergeCell ref="B12:C12"/>
    <mergeCell ref="B13:C13"/>
    <mergeCell ref="B14:C14"/>
    <mergeCell ref="B15:C15"/>
    <mergeCell ref="D10:R10"/>
    <mergeCell ref="D11:R11"/>
    <mergeCell ref="B45:R45"/>
    <mergeCell ref="B46:R46"/>
    <mergeCell ref="B47:R47"/>
    <mergeCell ref="B48:R48"/>
    <mergeCell ref="B49:R49"/>
    <mergeCell ref="B55:R55"/>
    <mergeCell ref="B56:R56"/>
    <mergeCell ref="B50:R50"/>
    <mergeCell ref="B51:R51"/>
    <mergeCell ref="B52:R52"/>
    <mergeCell ref="B53:R53"/>
    <mergeCell ref="B54:R54"/>
  </mergeCells>
  <pageMargins left="0.70866141732283472" right="0.70866141732283472" top="0.74803149606299213" bottom="0.74803149606299213" header="0.31496062992125984" footer="0.31496062992125984"/>
  <pageSetup paperSize="9" scale="53" orientation="portrait" r:id="rId1"/>
  <headerFooter>
    <oddFooter>&amp;L&amp;9Static - eurocode version 001&amp;C&amp;9Project information&amp;R&amp;9&amp;D   &amp;T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from>
                    <xdr:col>2</xdr:col>
                    <xdr:colOff>655320</xdr:colOff>
                    <xdr:row>12</xdr:row>
                    <xdr:rowOff>182880</xdr:rowOff>
                  </from>
                  <to>
                    <xdr:col>5</xdr:col>
                    <xdr:colOff>45720</xdr:colOff>
                    <xdr:row>14</xdr:row>
                    <xdr:rowOff>0</xdr:rowOff>
                  </to>
                </anchor>
              </controlPr>
            </control>
          </mc:Choice>
        </mc:AlternateContent>
        <mc:AlternateContent xmlns:mc="http://schemas.openxmlformats.org/markup-compatibility/2006">
          <mc:Choice Requires="x14">
            <control shapeId="4098" r:id="rId5" name="Drop Down 2">
              <controlPr defaultSize="0" autoLine="0" autoPict="0">
                <anchor>
                  <from>
                    <xdr:col>3</xdr:col>
                    <xdr:colOff>0</xdr:colOff>
                    <xdr:row>7</xdr:row>
                    <xdr:rowOff>0</xdr:rowOff>
                  </from>
                  <to>
                    <xdr:col>5</xdr:col>
                    <xdr:colOff>45720</xdr:colOff>
                    <xdr:row>8</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1">
    <pageSetUpPr fitToPage="1"/>
  </sheetPr>
  <dimension ref="B1:Y172"/>
  <sheetViews>
    <sheetView showGridLines="0" showRowColHeaders="0" zoomScaleNormal="100" workbookViewId="0">
      <selection activeCell="C69" sqref="C69"/>
    </sheetView>
  </sheetViews>
  <sheetFormatPr defaultColWidth="9" defaultRowHeight="13.8" x14ac:dyDescent="0.25"/>
  <cols>
    <col min="1" max="1" width="1.59765625" style="3" customWidth="1"/>
    <col min="2" max="10" width="8.59765625" style="3" customWidth="1"/>
    <col min="11" max="11" width="1.59765625" style="3" customWidth="1"/>
    <col min="12" max="19" width="8.59765625" style="3" customWidth="1"/>
    <col min="20" max="20" width="2.59765625" style="3" customWidth="1"/>
    <col min="21" max="22" width="9" style="3"/>
    <col min="23" max="23" width="27.09765625" style="3" customWidth="1"/>
    <col min="24" max="24" width="9" style="3"/>
    <col min="25" max="25" width="58.09765625" style="3" customWidth="1"/>
    <col min="26" max="16384" width="9" style="3"/>
  </cols>
  <sheetData>
    <row r="1" spans="2:19" ht="15" customHeight="1" x14ac:dyDescent="0.25"/>
    <row r="2" spans="2:19" ht="15" customHeight="1" x14ac:dyDescent="0.25">
      <c r="B2" s="93" t="str">
        <f>CHOOSE(Project!$D$14,"Bepaling lokale winddrukken","Détermination pressions locales du vent","Determination of local wind pressures",".....")</f>
        <v>Bepaling lokale winddrukken</v>
      </c>
      <c r="C2" s="94"/>
      <c r="D2" s="94"/>
      <c r="E2" s="94"/>
      <c r="F2" s="95"/>
      <c r="G2" s="95"/>
      <c r="H2" s="94"/>
      <c r="I2" s="94"/>
      <c r="J2" s="95"/>
      <c r="K2" s="95"/>
      <c r="L2" s="94"/>
      <c r="M2" s="94"/>
      <c r="N2" s="94"/>
      <c r="O2" s="95"/>
      <c r="P2" s="95"/>
      <c r="Q2" s="94"/>
      <c r="R2" s="94"/>
      <c r="S2" s="96"/>
    </row>
    <row r="3" spans="2:19" ht="15" customHeight="1" x14ac:dyDescent="0.25">
      <c r="B3" s="132"/>
      <c r="C3" s="133"/>
      <c r="D3" s="133"/>
      <c r="E3" s="133"/>
      <c r="F3" s="92"/>
      <c r="G3" s="92"/>
      <c r="H3" s="133"/>
      <c r="I3" s="133"/>
      <c r="J3" s="92"/>
      <c r="K3" s="92"/>
      <c r="L3" s="133"/>
      <c r="M3" s="133"/>
      <c r="N3" s="133"/>
      <c r="O3" s="92"/>
      <c r="P3" s="92"/>
      <c r="Q3" s="133"/>
      <c r="R3" s="133"/>
      <c r="S3" s="92"/>
    </row>
    <row r="4" spans="2:19" ht="15" customHeight="1" x14ac:dyDescent="0.25">
      <c r="B4" s="343" t="str">
        <f>Project!B4</f>
        <v>Project</v>
      </c>
      <c r="C4" s="344"/>
      <c r="D4" s="347">
        <f>Project!D4</f>
        <v>0</v>
      </c>
      <c r="E4" s="348"/>
      <c r="F4" s="348"/>
      <c r="G4" s="348"/>
      <c r="H4" s="348"/>
      <c r="I4" s="348"/>
      <c r="J4" s="349"/>
      <c r="K4" s="349"/>
      <c r="L4" s="349"/>
      <c r="M4" s="349"/>
      <c r="N4" s="349"/>
      <c r="O4" s="349"/>
      <c r="P4" s="349"/>
      <c r="Q4" s="349"/>
      <c r="R4" s="349"/>
      <c r="S4" s="350"/>
    </row>
    <row r="5" spans="2:19" ht="15" customHeight="1" x14ac:dyDescent="0.25">
      <c r="B5" s="345" t="str">
        <f>Project!B5</f>
        <v>Dossiernummer</v>
      </c>
      <c r="C5" s="346"/>
      <c r="D5" s="351">
        <f>Project!D5</f>
        <v>0</v>
      </c>
      <c r="E5" s="352"/>
      <c r="F5" s="352"/>
      <c r="G5" s="352"/>
      <c r="H5" s="352"/>
      <c r="I5" s="352"/>
      <c r="J5" s="353"/>
      <c r="K5" s="353"/>
      <c r="L5" s="353"/>
      <c r="M5" s="353"/>
      <c r="N5" s="353"/>
      <c r="O5" s="353"/>
      <c r="P5" s="353"/>
      <c r="Q5" s="353"/>
      <c r="R5" s="353"/>
      <c r="S5" s="354"/>
    </row>
    <row r="6" spans="2:19" ht="15" customHeight="1" x14ac:dyDescent="0.25">
      <c r="B6" s="132"/>
      <c r="C6" s="133"/>
      <c r="D6" s="133"/>
      <c r="E6" s="133"/>
      <c r="F6" s="92"/>
      <c r="G6" s="92"/>
      <c r="H6" s="133"/>
      <c r="I6" s="133"/>
      <c r="J6" s="92"/>
      <c r="K6" s="92"/>
      <c r="L6" s="133"/>
      <c r="M6" s="133"/>
      <c r="N6" s="133"/>
      <c r="O6" s="92"/>
      <c r="P6" s="92"/>
      <c r="Q6" s="133"/>
      <c r="R6" s="133"/>
      <c r="S6" s="92"/>
    </row>
    <row r="7" spans="2:19" ht="15" customHeight="1" x14ac:dyDescent="0.25">
      <c r="B7" s="4" t="str">
        <f>CHOOSE(Project!$D$14,"Gegevens gebouw","Données du bâtiment","Information of the building","Informationen über das Gebaude")</f>
        <v>Gegevens gebouw</v>
      </c>
      <c r="C7" s="5"/>
      <c r="D7" s="5"/>
      <c r="E7" s="5"/>
    </row>
    <row r="8" spans="2:19" ht="15" customHeight="1" x14ac:dyDescent="0.25">
      <c r="B8" s="102" t="str">
        <f>CHOOSE(Project!D14,"type","type","type","Type")</f>
        <v>type</v>
      </c>
      <c r="C8" s="127">
        <v>1</v>
      </c>
      <c r="E8" s="54" t="str">
        <f>INDEX($W$147:$W$150,MATCH($C$8,$X$147:$X$150,0))</f>
        <v>plat dak</v>
      </c>
      <c r="F8" s="54"/>
      <c r="G8" s="54"/>
    </row>
    <row r="9" spans="2:19" ht="15" customHeight="1" x14ac:dyDescent="0.25">
      <c r="B9" s="102" t="s">
        <v>32</v>
      </c>
      <c r="C9" s="128">
        <v>20</v>
      </c>
      <c r="D9" s="54" t="s">
        <v>7</v>
      </c>
      <c r="E9" s="105" t="str">
        <f>CHOOSE(Project!$D$14,"gebouwbreedte","largeur bâtiment","building width","Breite Gebaude")</f>
        <v>gebouwbreedte</v>
      </c>
      <c r="F9" s="54"/>
      <c r="G9" s="54"/>
      <c r="K9" s="6"/>
    </row>
    <row r="10" spans="2:19" ht="15" customHeight="1" x14ac:dyDescent="0.25">
      <c r="B10" s="102" t="s">
        <v>31</v>
      </c>
      <c r="C10" s="128">
        <v>50</v>
      </c>
      <c r="D10" s="54" t="s">
        <v>7</v>
      </c>
      <c r="E10" s="105" t="str">
        <f>CHOOSE(Project!$D$14,"gebouwdiepte","profondeur bâtiment","building depth","Gebäudetiefe")</f>
        <v>gebouwdiepte</v>
      </c>
      <c r="F10" s="54"/>
      <c r="G10" s="54"/>
    </row>
    <row r="11" spans="2:19" ht="15" customHeight="1" x14ac:dyDescent="0.25">
      <c r="B11" s="102" t="s">
        <v>30</v>
      </c>
      <c r="C11" s="128">
        <v>20</v>
      </c>
      <c r="D11" s="54" t="s">
        <v>7</v>
      </c>
      <c r="E11" s="105" t="str">
        <f>CHOOSE(Project!$D$14,"gebouwhoogte","hauteur du bâtiment","building hight","Gebäudehöhe")</f>
        <v>gebouwhoogte</v>
      </c>
      <c r="F11" s="54"/>
      <c r="G11" s="54"/>
    </row>
    <row r="12" spans="2:19" ht="15" customHeight="1" x14ac:dyDescent="0.35">
      <c r="B12" s="122" t="s">
        <v>65</v>
      </c>
      <c r="C12" s="124">
        <f>MIN($C$10/5,2*$C$11/5)</f>
        <v>8</v>
      </c>
      <c r="D12" s="54" t="s">
        <v>7</v>
      </c>
      <c r="E12" s="121" t="str">
        <f>CHOOSE(Project!$D$14,"breedte randzone 2 =min(d/5,2h/5)","largeur zone de bord 2 =min(d/5,2h/5)","width edge zone 2 =min(d/5,2h/5)","Breite Randzone 2=min(d/5,2h/5)")</f>
        <v>breedte randzone 2 =min(d/5,2h/5)</v>
      </c>
      <c r="F12" s="54"/>
      <c r="G12" s="54"/>
    </row>
    <row r="13" spans="2:19" ht="15" customHeight="1" x14ac:dyDescent="0.35">
      <c r="B13" s="122" t="s">
        <v>66</v>
      </c>
      <c r="C13" s="124">
        <f>MIN($C$9/5,2*$C$11/5)</f>
        <v>4</v>
      </c>
      <c r="D13" s="54" t="s">
        <v>7</v>
      </c>
      <c r="E13" s="121" t="str">
        <f>CHOOSE(Project!$D$14,"breedte randzone 4 =min(b/5,2h/5)","largeur zone de bord 4 =min(b/5,2h/5)","width edgezone 4=min(b/5,2h/5)","Breite Randzone 4=min(b/5,2h/5)")</f>
        <v>breedte randzone 4 =min(b/5,2h/5)</v>
      </c>
      <c r="F13" s="54"/>
      <c r="G13" s="54"/>
      <c r="I13" s="9"/>
    </row>
    <row r="14" spans="2:19" ht="15" customHeight="1" x14ac:dyDescent="0.25">
      <c r="B14" s="54"/>
      <c r="C14" s="122"/>
      <c r="D14" s="56"/>
      <c r="E14" s="121"/>
      <c r="F14" s="54"/>
      <c r="G14" s="54"/>
      <c r="H14" s="54"/>
      <c r="I14" s="9"/>
    </row>
    <row r="15" spans="2:19" ht="15" customHeight="1" x14ac:dyDescent="0.25">
      <c r="B15" s="4" t="str">
        <f>CHOOSE(Project!$D$14,"Gegevens wind","Données du vent","Information of the wind","Informationen der Wind")</f>
        <v>Gegevens wind</v>
      </c>
    </row>
    <row r="16" spans="2:19" ht="15" customHeight="1" x14ac:dyDescent="0.25">
      <c r="B16" s="2" t="str">
        <f>CHOOSE(Project!$D$14,"Land","Pays","Country","Land")</f>
        <v>Land</v>
      </c>
      <c r="C16" s="243" t="str">
        <f>$W$153</f>
        <v>Belgie/Luxemburg</v>
      </c>
      <c r="D16" s="162"/>
      <c r="E16" s="161" t="str">
        <f>$W$154</f>
        <v>Frankrijk</v>
      </c>
      <c r="F16" s="162"/>
      <c r="G16" s="161" t="str">
        <f>$W$155</f>
        <v>Nederland</v>
      </c>
      <c r="H16" s="163"/>
    </row>
    <row r="17" spans="2:10" ht="15" customHeight="1" x14ac:dyDescent="0.35">
      <c r="B17" s="102" t="s">
        <v>76</v>
      </c>
      <c r="C17" s="139">
        <v>24</v>
      </c>
      <c r="D17" s="54" t="s">
        <v>94</v>
      </c>
      <c r="E17" s="121" t="str">
        <f>CHOOSE(Project!$D$14,"referentie windsnelheid","vitesse du vent de reference","reference wind speed","Referenz Windgeschwindigkeit")</f>
        <v>referentie windsnelheid</v>
      </c>
      <c r="F17" s="54"/>
      <c r="G17" s="54" t="str">
        <f>IF(Project!$D$8=1,CHOOSE(Project!$D$14,"(voor Luxemburg steeds 24 m/s)","(pour le Luxembourg toujours 24 m/s)","(for Luxemburg always 24 m/s)","(für Luxemburg immer 24 m/s)"),"")</f>
        <v>(voor Luxemburg steeds 24 m/s)</v>
      </c>
      <c r="H17" s="54"/>
    </row>
    <row r="18" spans="2:10" ht="15" customHeight="1" x14ac:dyDescent="0.35">
      <c r="B18" s="102" t="s">
        <v>77</v>
      </c>
      <c r="C18" s="129">
        <v>1</v>
      </c>
      <c r="E18" s="103" t="str">
        <f>CHOOSE(Project!$D$14,"richtingsfactor","coefficient réducteur de direction","")</f>
        <v>richtingsfactor</v>
      </c>
      <c r="F18" s="54"/>
      <c r="G18" s="54"/>
      <c r="H18" s="54"/>
    </row>
    <row r="19" spans="2:10" ht="15" customHeight="1" x14ac:dyDescent="0.35">
      <c r="B19" s="102" t="s">
        <v>78</v>
      </c>
      <c r="C19" s="129">
        <v>1</v>
      </c>
      <c r="E19" s="103" t="str">
        <f>CHOOSE(Project!$D$14,"seizoensfactor (voor tijdelijke constructies)","coefficient réducteur de saison (en cas de structure provisoire)","")</f>
        <v>seizoensfactor (voor tijdelijke constructies)</v>
      </c>
      <c r="F19" s="54"/>
      <c r="G19" s="54"/>
      <c r="H19" s="156"/>
    </row>
    <row r="20" spans="2:10" ht="15" customHeight="1" x14ac:dyDescent="0.35">
      <c r="B20" s="102" t="s">
        <v>79</v>
      </c>
      <c r="C20" s="56">
        <f>C17*C18*C19</f>
        <v>24</v>
      </c>
      <c r="D20" s="54" t="s">
        <v>94</v>
      </c>
      <c r="E20" s="121" t="str">
        <f>CHOOSE(Project!$D$14,"basis windsnelheid","vitesse du vent de base","basic wind speed"," ...... Windgeschwindigkeit")</f>
        <v>basis windsnelheid</v>
      </c>
      <c r="F20" s="156"/>
      <c r="G20" s="156"/>
      <c r="H20" s="156"/>
    </row>
    <row r="21" spans="2:10" ht="15" customHeight="1" x14ac:dyDescent="0.25">
      <c r="B21" s="54"/>
      <c r="C21" s="102"/>
      <c r="D21" s="56"/>
      <c r="E21" s="121"/>
      <c r="F21" s="156"/>
      <c r="G21" s="156"/>
      <c r="H21" s="156"/>
      <c r="I21" s="156"/>
    </row>
    <row r="22" spans="2:10" ht="15" customHeight="1" x14ac:dyDescent="0.25">
      <c r="B22" s="13" t="str">
        <f>CHOOSE(Project!$D$14,"Bepaling hdis","Détermination hdis","Détermination hdis","....")</f>
        <v>Bepaling hdis</v>
      </c>
    </row>
    <row r="23" spans="2:10" ht="15" customHeight="1" x14ac:dyDescent="0.25">
      <c r="B23" s="144" t="str">
        <f>CHOOSE(Project!$D$14,"terreintype","type de terrain","terrain type","Geländeart")</f>
        <v>terreintype</v>
      </c>
      <c r="C23" s="127">
        <v>1</v>
      </c>
      <c r="E23" s="54" t="str">
        <f>INDEX($W$159:$W$161,MATCH($C$23,$X$159:$X$161,0))</f>
        <v>Gebouw op vlak terrein</v>
      </c>
      <c r="F23" s="54"/>
      <c r="G23" s="54"/>
      <c r="H23" s="54"/>
    </row>
    <row r="24" spans="2:10" ht="15" customHeight="1" x14ac:dyDescent="0.35">
      <c r="B24" s="102" t="s">
        <v>80</v>
      </c>
      <c r="C24" s="128">
        <v>0</v>
      </c>
      <c r="D24" s="54" t="s">
        <v>7</v>
      </c>
      <c r="E24" s="103" t="str">
        <f>CHOOSE(Project!D14,"verschil tussen gebouwvoet en referentieniveau","différence entre le pied du bâtiment et le niveau de référence","")</f>
        <v>verschil tussen gebouwvoet en referentieniveau</v>
      </c>
      <c r="F24" s="54"/>
      <c r="G24" s="54"/>
      <c r="H24" s="54"/>
    </row>
    <row r="25" spans="2:10" ht="15" customHeight="1" x14ac:dyDescent="0.25">
      <c r="B25" s="157"/>
      <c r="C25" s="102"/>
      <c r="D25" s="129"/>
      <c r="E25" s="103"/>
      <c r="F25" s="54"/>
      <c r="G25" s="54"/>
      <c r="H25" s="54"/>
      <c r="I25" s="54"/>
    </row>
    <row r="26" spans="2:10" ht="15" customHeight="1" x14ac:dyDescent="0.25">
      <c r="B26" s="13" t="str">
        <f>CHOOSE(Project!$D$14,"Gebouw gelocaliseerd in ruwheidsklasse IV","Bâtiment localisé en classe de rugosité IV","Building located in ... IV","...")</f>
        <v>Gebouw gelocaliseerd in ruwheidsklasse IV</v>
      </c>
      <c r="C26" s="10"/>
      <c r="D26" s="11"/>
      <c r="E26" s="12"/>
    </row>
    <row r="27" spans="2:10" ht="15" customHeight="1" x14ac:dyDescent="0.25">
      <c r="B27" s="144"/>
      <c r="C27" s="127" t="s">
        <v>417</v>
      </c>
      <c r="D27" s="54"/>
      <c r="E27" s="54" t="str">
        <f>IF(Project!$D$8=3,CHOOSE(Project!$D$14,"(voor Nederland steeds neen)","(pour les Pays bas toujour non)","(for The Netherlands always no)","(für die Niederlande immer Nein)"),"")</f>
        <v/>
      </c>
      <c r="F27" s="54"/>
      <c r="H27" s="54"/>
      <c r="J27" s="54"/>
    </row>
    <row r="28" spans="2:10" ht="15" customHeight="1" x14ac:dyDescent="0.35">
      <c r="B28" s="102" t="s">
        <v>81</v>
      </c>
      <c r="C28" s="129">
        <f>IF(C27=X164,15,0)</f>
        <v>0</v>
      </c>
      <c r="D28" s="160" t="s">
        <v>7</v>
      </c>
      <c r="E28" s="121" t="str">
        <f>CHOOSE(Project!$D$14,"gemiddelde hoogte omliggende gebouwen","hauteur moyene autour du bâtiment","Avarage hight   ............","....................")</f>
        <v>gemiddelde hoogte omliggende gebouwen</v>
      </c>
      <c r="F28" s="54"/>
      <c r="G28" s="54"/>
      <c r="H28" s="54"/>
      <c r="J28" s="54"/>
    </row>
    <row r="29" spans="2:10" ht="15" customHeight="1" x14ac:dyDescent="0.35">
      <c r="B29" s="102" t="s">
        <v>82</v>
      </c>
      <c r="C29" s="158">
        <v>0</v>
      </c>
      <c r="D29" s="160" t="s">
        <v>7</v>
      </c>
      <c r="E29" s="121" t="str">
        <f>CHOOSE(Project!$D$14,"afstand tot de omliggende gebouwen bij terreintype 4","distance vers les bâtiments autour pour type de terrein 4","avarage height surrounding buildings for ...","  ....................")</f>
        <v>afstand tot de omliggende gebouwen bij terreintype 4</v>
      </c>
      <c r="F29" s="54"/>
      <c r="G29" s="54"/>
      <c r="H29" s="54"/>
      <c r="J29" s="54"/>
    </row>
    <row r="30" spans="2:10" ht="15" customHeight="1" x14ac:dyDescent="0.35">
      <c r="B30" s="102" t="s">
        <v>83</v>
      </c>
      <c r="C30" s="159">
        <f>IF(C29&gt;2*C28,IF(C29&lt;6*C28,MIN(1.2*C28-0.2*C29,0.6*C11),0),MIN(0.8*C28,0.6*C11))</f>
        <v>0</v>
      </c>
      <c r="D30" s="160" t="s">
        <v>7</v>
      </c>
      <c r="E30" s="54"/>
      <c r="F30" s="54"/>
      <c r="G30" s="54"/>
      <c r="H30" s="54"/>
      <c r="J30" s="54"/>
    </row>
    <row r="31" spans="2:10" ht="15" customHeight="1" x14ac:dyDescent="0.25">
      <c r="B31" s="54"/>
      <c r="C31" s="102"/>
      <c r="D31" s="159"/>
      <c r="E31" s="160"/>
      <c r="F31" s="54"/>
      <c r="G31" s="54"/>
      <c r="H31" s="54"/>
      <c r="I31" s="54"/>
      <c r="J31" s="54"/>
    </row>
    <row r="32" spans="2:10" ht="15" customHeight="1" x14ac:dyDescent="0.25">
      <c r="B32" s="13" t="str">
        <f>CHOOSE(Project!$D$14,"Nabijheid van een hoog gebouw","Proximité d'un bâtiment haut","Proximity of a high building","....")</f>
        <v>Nabijheid van een hoog gebouw</v>
      </c>
    </row>
    <row r="33" spans="2:19" ht="15" customHeight="1" x14ac:dyDescent="0.25">
      <c r="B33" s="54"/>
      <c r="C33" s="127" t="s">
        <v>417</v>
      </c>
      <c r="D33" s="105"/>
      <c r="E33" s="54"/>
      <c r="F33" s="54"/>
      <c r="G33" s="54"/>
      <c r="H33" s="54"/>
      <c r="J33" s="54"/>
    </row>
    <row r="34" spans="2:19" ht="15" customHeight="1" x14ac:dyDescent="0.35">
      <c r="B34" s="102" t="s">
        <v>84</v>
      </c>
      <c r="C34" s="158">
        <v>0</v>
      </c>
      <c r="D34" s="160" t="s">
        <v>7</v>
      </c>
      <c r="E34" s="105" t="str">
        <f>CHOOSE(Project!$D$14,"grootste breedte hoogbouw","largeur maximale bâtiment haut","largest lenght highrise building","grösste Breite Hochbau")</f>
        <v>grootste breedte hoogbouw</v>
      </c>
      <c r="F34" s="54"/>
      <c r="G34" s="54"/>
      <c r="H34" s="54"/>
      <c r="J34" s="54"/>
    </row>
    <row r="35" spans="2:19" ht="15" customHeight="1" x14ac:dyDescent="0.35">
      <c r="B35" s="102" t="s">
        <v>85</v>
      </c>
      <c r="C35" s="158">
        <v>0</v>
      </c>
      <c r="D35" s="160" t="s">
        <v>7</v>
      </c>
      <c r="E35" s="105" t="str">
        <f>CHOOSE(Project!$D$14,"hoogte hoogbouw","hauteur bâtiment haut","height highrise building","Höhe Hochbau")</f>
        <v>hoogte hoogbouw</v>
      </c>
      <c r="F35" s="54"/>
      <c r="G35" s="54"/>
      <c r="H35" s="54"/>
      <c r="J35" s="54"/>
    </row>
    <row r="36" spans="2:19" ht="15" customHeight="1" x14ac:dyDescent="0.25">
      <c r="B36" s="102" t="s">
        <v>18</v>
      </c>
      <c r="C36" s="107">
        <f>IF(C35&gt;2*C34,2*C34,C35)</f>
        <v>0</v>
      </c>
      <c r="D36" s="160" t="s">
        <v>7</v>
      </c>
      <c r="E36" s="105" t="str">
        <f>CHOOSE(Project!$D$14,"invloedsstraal hoogbouw","rayon d' influence bâtiment haut","radius of influence highrise building","Wirkungsradius Hochbau")</f>
        <v>invloedsstraal hoogbouw</v>
      </c>
      <c r="F36" s="54"/>
      <c r="G36" s="54"/>
      <c r="H36" s="54"/>
      <c r="J36" s="54"/>
    </row>
    <row r="37" spans="2:19" ht="15" customHeight="1" x14ac:dyDescent="0.35">
      <c r="B37" s="102" t="s">
        <v>86</v>
      </c>
      <c r="C37" s="158">
        <v>0</v>
      </c>
      <c r="D37" s="160" t="s">
        <v>7</v>
      </c>
      <c r="E37" s="105" t="str">
        <f>CHOOSE(Project!$D$14,"afstand tot hoogbouw","distance vers bâtiment haut","distance to highrise building","Abstand bis Hochbau")</f>
        <v>afstand tot hoogbouw</v>
      </c>
      <c r="F37" s="54"/>
      <c r="G37" s="54"/>
      <c r="H37" s="54"/>
      <c r="J37" s="54"/>
    </row>
    <row r="38" spans="2:19" ht="15" customHeight="1" x14ac:dyDescent="0.35">
      <c r="B38" s="102" t="s">
        <v>87</v>
      </c>
      <c r="C38" s="107">
        <f>IF(C35&gt;2*C28,IF(C11&lt;C35/2,IF(C37&lt;C36,0.5*C36,IF(C37&gt;2*C36,C11,0.5*(C36-(1-(2*C11/C36))*(C37-C36)))),C11),C11)</f>
        <v>20</v>
      </c>
      <c r="D38" s="160" t="s">
        <v>7</v>
      </c>
      <c r="E38" s="105" t="str">
        <f>CHOOSE(Project!$D$14,"te beschouwen gebouwhoogte onder invloed hoogbouw","hauteur à considérer sous l'influence du bâtiment haut"," "," ")</f>
        <v>te beschouwen gebouwhoogte onder invloed hoogbouw</v>
      </c>
      <c r="F38" s="54"/>
      <c r="G38" s="54"/>
      <c r="H38" s="54"/>
      <c r="J38" s="54"/>
    </row>
    <row r="39" spans="2:19" ht="15" customHeight="1" x14ac:dyDescent="0.25">
      <c r="B39" s="54"/>
      <c r="C39" s="102"/>
      <c r="D39" s="107"/>
      <c r="E39" s="54"/>
      <c r="F39" s="54"/>
      <c r="G39" s="54"/>
      <c r="H39" s="54"/>
      <c r="I39" s="54"/>
      <c r="J39" s="54"/>
    </row>
    <row r="40" spans="2:19" ht="15" customHeight="1" x14ac:dyDescent="0.25">
      <c r="B40" s="13" t="str">
        <f>CHOOSE(Project!$D$14,"Bepaling referentiehoogte Ze","Détermination hauteur de référence Ze","Determination reference hight Ze","....")</f>
        <v>Bepaling referentiehoogte Ze</v>
      </c>
    </row>
    <row r="41" spans="2:19" ht="15" customHeight="1" x14ac:dyDescent="0.35">
      <c r="B41" s="102" t="s">
        <v>67</v>
      </c>
      <c r="C41" s="138">
        <f>IF(C38&lt;C11,C11-C30-C24,C38-C30-C24)</f>
        <v>20</v>
      </c>
      <c r="D41" s="160" t="s">
        <v>7</v>
      </c>
      <c r="E41" s="105" t="str">
        <f>CHOOSE(Project!$D$14,"referentiehoogte","hauteur de référence","reference height","....")</f>
        <v>referentiehoogte</v>
      </c>
      <c r="H41" s="19"/>
      <c r="Q41" s="15"/>
      <c r="R41" s="15"/>
      <c r="S41" s="15"/>
    </row>
    <row r="42" spans="2:19" ht="15" customHeight="1" x14ac:dyDescent="0.25">
      <c r="C42" s="10"/>
      <c r="D42" s="17"/>
      <c r="E42" s="18"/>
      <c r="F42" s="19"/>
      <c r="H42" s="19"/>
      <c r="Q42" s="15"/>
      <c r="R42" s="15"/>
      <c r="S42" s="15"/>
    </row>
    <row r="43" spans="2:19" ht="15" customHeight="1" x14ac:dyDescent="0.25">
      <c r="B43" s="21" t="str">
        <f>CHOOSE(Project!$D$14,"Bepaling ruwheidsfactor","Détermination coefficient de rugosité","")</f>
        <v>Bepaling ruwheidsfactor</v>
      </c>
      <c r="G43" s="15"/>
      <c r="Q43" s="15"/>
      <c r="R43" s="15"/>
      <c r="S43" s="15"/>
    </row>
    <row r="44" spans="2:19" ht="15" customHeight="1" x14ac:dyDescent="0.25">
      <c r="B44" s="102" t="s">
        <v>10</v>
      </c>
      <c r="C44" s="248">
        <f>IF(Project!$D$8=3,IF(OR(C11&lt;40,C11=40),MAX(50*C11,500),IF(C11&gt;80,5000,75*C11-1000)),MAX(300,23*C41^1.2))</f>
        <v>837.45953339199673</v>
      </c>
      <c r="D44" s="160" t="s">
        <v>7</v>
      </c>
      <c r="E44" s="121" t="str">
        <f>CHOOSE(Project!$D$14,"straal rond gebouw om windzone te bepalen","rayon autour du bâtiment pour définir la classe de rugosité","   ............","  ....................")</f>
        <v>straal rond gebouw om windzone te bepalen</v>
      </c>
      <c r="F44" s="54"/>
      <c r="G44" s="54"/>
      <c r="H44" s="54"/>
      <c r="I44" s="54"/>
      <c r="Q44" s="15"/>
      <c r="R44" s="15"/>
      <c r="S44" s="15"/>
    </row>
    <row r="45" spans="2:19" ht="15" customHeight="1" x14ac:dyDescent="0.25">
      <c r="B45" s="137" t="str">
        <f>CHOOSE(Project!$D$14,"categorie","catégorie","category","....")</f>
        <v>categorie</v>
      </c>
      <c r="C45" s="141" t="s">
        <v>1</v>
      </c>
      <c r="D45" s="355" t="str">
        <f>IF(Project!$D$8=1,INDEX($W$132:$W$136,MATCH($C$45,$X$132:$X$136,0)),IF(Project!$D$8=2,INDEX($W$137:$W$141,MATCH($C$45,$X$137:$X$141,0)),INDEX($W$142:$W$144,MATCH($C$45,$X$142:$X$144,0))))</f>
        <v>Zone met lage vegetatie (zoals gras), met of zonder alleenstaande obstakels (bomen,gebouwen) op een onderlinge afstand van minstens 20 keer hun hoogte</v>
      </c>
      <c r="E45" s="356"/>
      <c r="F45" s="356"/>
      <c r="G45" s="356"/>
      <c r="H45" s="356"/>
      <c r="I45" s="356"/>
      <c r="J45" s="356"/>
      <c r="K45" s="16"/>
      <c r="L45" s="16"/>
      <c r="M45" s="16"/>
      <c r="Q45" s="15"/>
      <c r="R45" s="15"/>
      <c r="S45" s="15"/>
    </row>
    <row r="46" spans="2:19" ht="15" customHeight="1" x14ac:dyDescent="0.25">
      <c r="B46" s="54"/>
      <c r="C46" s="54"/>
      <c r="D46" s="356"/>
      <c r="E46" s="356"/>
      <c r="F46" s="356"/>
      <c r="G46" s="356"/>
      <c r="H46" s="356"/>
      <c r="I46" s="356"/>
      <c r="J46" s="356"/>
      <c r="K46" s="16"/>
      <c r="L46" s="16"/>
      <c r="M46" s="16"/>
      <c r="Q46" s="15"/>
      <c r="R46" s="15"/>
      <c r="S46" s="15"/>
    </row>
    <row r="47" spans="2:19" ht="15" customHeight="1" x14ac:dyDescent="0.25">
      <c r="B47" s="54"/>
      <c r="C47" s="54"/>
      <c r="D47" s="356"/>
      <c r="E47" s="356"/>
      <c r="F47" s="356"/>
      <c r="G47" s="356"/>
      <c r="H47" s="356"/>
      <c r="I47" s="356"/>
      <c r="J47" s="356"/>
      <c r="Q47" s="15"/>
      <c r="R47" s="15"/>
      <c r="S47" s="15"/>
    </row>
    <row r="48" spans="2:19" ht="15" customHeight="1" x14ac:dyDescent="0.35">
      <c r="B48" s="102" t="s">
        <v>68</v>
      </c>
      <c r="C48" s="56">
        <f>IF(Project!$D$8=1,INDEX($U$132:$U$136,MATCH($C$45,$X$132:$X$136,0)),IF(Project!$D$8=2,INDEX($U$137:$U$141,MATCH($C$45,$X$137:$X$141,0)),INDEX($U$142:$U$144,MATCH($C$45,$X$142:$X$144,0))))</f>
        <v>0.05</v>
      </c>
      <c r="D48" s="160" t="s">
        <v>7</v>
      </c>
      <c r="E48" s="142" t="str">
        <f>CHOOSE(Project!$D$14,"ruwheidslengte","longueur de rugosité","roughness lenght")</f>
        <v>ruwheidslengte</v>
      </c>
      <c r="F48" s="54"/>
      <c r="G48" s="54"/>
      <c r="H48" s="54"/>
      <c r="I48" s="54"/>
      <c r="Q48" s="15"/>
      <c r="R48" s="15"/>
      <c r="S48" s="15"/>
    </row>
    <row r="49" spans="2:19" ht="15" customHeight="1" x14ac:dyDescent="0.35">
      <c r="B49" s="102" t="s">
        <v>69</v>
      </c>
      <c r="C49" s="56">
        <f>IF(Project!$D$8=1,INDEX($V$132:$V$136,MATCH($C$45,$X$132:$X$136,0)),IF(Project!$D$8=2,INDEX($V$137:$V$141,MATCH($C$45,$X$137:$X$141,0)),INDEX($V$142:$V$144,MATCH($C$45,$X$142:$X$144,0))))</f>
        <v>2</v>
      </c>
      <c r="D49" s="160" t="s">
        <v>7</v>
      </c>
      <c r="E49" s="54"/>
      <c r="F49" s="54"/>
      <c r="G49" s="54"/>
      <c r="H49" s="54"/>
      <c r="I49" s="54"/>
      <c r="Q49" s="20"/>
      <c r="R49" s="15"/>
      <c r="S49" s="15"/>
    </row>
    <row r="50" spans="2:19" ht="15" customHeight="1" x14ac:dyDescent="0.35">
      <c r="B50" s="102" t="s">
        <v>70</v>
      </c>
      <c r="C50" s="143">
        <f>0.19*(C48/0.05)^0.07</f>
        <v>0.19</v>
      </c>
      <c r="E50" s="142" t="str">
        <f>CHOOSE(Project!$D$14,"terreinfactor","facteur de terrain","surface factor")</f>
        <v>terreinfactor</v>
      </c>
      <c r="F50" s="54"/>
      <c r="G50" s="54"/>
      <c r="H50" s="54"/>
      <c r="I50" s="54"/>
      <c r="Q50" s="15"/>
      <c r="R50" s="15"/>
      <c r="S50" s="15"/>
    </row>
    <row r="51" spans="2:19" ht="15" customHeight="1" x14ac:dyDescent="0.35">
      <c r="B51" s="102" t="s">
        <v>71</v>
      </c>
      <c r="C51" s="143">
        <f>IF(C41&gt;C49,C50*LN(C41/C48),C50*LN(C49/C48))</f>
        <v>1.1383782639505164</v>
      </c>
      <c r="E51" s="142" t="str">
        <f>CHOOSE(Project!$D$14,"ruwheidsfactor","coefficient de rugosité","Upper roughness factor")</f>
        <v>ruwheidsfactor</v>
      </c>
      <c r="F51" s="54"/>
      <c r="G51" s="54"/>
      <c r="H51" s="54"/>
      <c r="I51" s="54"/>
      <c r="Q51" s="15"/>
      <c r="R51" s="15"/>
      <c r="S51" s="15"/>
    </row>
    <row r="52" spans="2:19" ht="15" customHeight="1" x14ac:dyDescent="0.25">
      <c r="E52" s="22"/>
      <c r="G52" s="5"/>
      <c r="Q52" s="15"/>
      <c r="R52" s="15"/>
      <c r="S52" s="15"/>
    </row>
    <row r="53" spans="2:19" ht="15" customHeight="1" x14ac:dyDescent="0.25">
      <c r="B53" s="21" t="str">
        <f>CHOOSE(Project!$D$14,"Bepaling orografiecoëfficiënt","Détermination coefficient d'orographie","")</f>
        <v>Bepaling orografiecoëfficiënt</v>
      </c>
      <c r="Q53" s="15"/>
      <c r="R53" s="15"/>
      <c r="S53" s="15"/>
    </row>
    <row r="54" spans="2:19" ht="15" customHeight="1" x14ac:dyDescent="0.25">
      <c r="B54" s="144" t="str">
        <f>CHOOSE(Project!$D$14,"type","type","type")</f>
        <v>type</v>
      </c>
      <c r="C54" s="127">
        <v>1</v>
      </c>
      <c r="E54" s="105" t="str">
        <f>INDEX($W$168:$W$171,MATCH($C$54,$X$168:$X$171,0))</f>
        <v>Vlak</v>
      </c>
      <c r="F54" s="54"/>
    </row>
    <row r="55" spans="2:19" ht="15" customHeight="1" x14ac:dyDescent="0.25">
      <c r="B55" s="102" t="s">
        <v>43</v>
      </c>
      <c r="C55" s="127">
        <v>0</v>
      </c>
      <c r="D55" s="160" t="s">
        <v>7</v>
      </c>
      <c r="E55" s="121" t="str">
        <f>CHOOSE(Project!$D$14,"hoogte van de heuvel of helling","hauteur de colline ou inclinaison","")</f>
        <v>hoogte van de heuvel of helling</v>
      </c>
      <c r="F55" s="54"/>
    </row>
    <row r="56" spans="2:19" ht="15" customHeight="1" x14ac:dyDescent="0.25">
      <c r="B56" s="102" t="s">
        <v>44</v>
      </c>
      <c r="C56" s="127">
        <v>0</v>
      </c>
      <c r="D56" s="160" t="s">
        <v>7</v>
      </c>
      <c r="E56" s="121" t="str">
        <f>CHOOSE(Project!$D$14,"lengte van de helling in de wind","longueur du versant sous le vent","")</f>
        <v>lengte van de helling in de wind</v>
      </c>
      <c r="F56" s="54"/>
    </row>
    <row r="57" spans="2:19" ht="15" customHeight="1" x14ac:dyDescent="0.25">
      <c r="B57" s="102" t="s">
        <v>45</v>
      </c>
      <c r="C57" s="127">
        <v>0</v>
      </c>
      <c r="D57" s="160" t="s">
        <v>7</v>
      </c>
      <c r="E57" s="121" t="str">
        <f>CHOOSE(Project!$D$14,"lengte van de helling tegen de wind","longueur du versant contre le vent","")</f>
        <v>lengte van de helling tegen de wind</v>
      </c>
      <c r="F57" s="54"/>
      <c r="P57" s="19"/>
    </row>
    <row r="58" spans="2:19" ht="15" customHeight="1" x14ac:dyDescent="0.25">
      <c r="B58" s="102" t="s">
        <v>20</v>
      </c>
      <c r="C58" s="127">
        <v>0</v>
      </c>
      <c r="D58" s="160" t="s">
        <v>7</v>
      </c>
      <c r="E58" s="121" t="str">
        <f>CHOOSE(Project!$D$14,"afstand gebouw tot midden van de heuvel","distance jusqu'à la crête de la colline","")</f>
        <v>afstand gebouw tot midden van de heuvel</v>
      </c>
      <c r="F58" s="54"/>
      <c r="L58" s="23"/>
      <c r="M58" s="23"/>
      <c r="N58" s="23"/>
    </row>
    <row r="59" spans="2:19" ht="15" customHeight="1" x14ac:dyDescent="0.35">
      <c r="B59" s="102" t="s">
        <v>72</v>
      </c>
      <c r="C59" s="56">
        <f>IF(C56=0,0,C55/C56)</f>
        <v>0</v>
      </c>
      <c r="E59" s="121" t="str">
        <f>CHOOSE(Project!$D$14,"hellingspercentage","pourcentage de la pente","")</f>
        <v>hellingspercentage</v>
      </c>
      <c r="F59" s="54"/>
      <c r="L59" s="23"/>
      <c r="M59" s="23"/>
      <c r="N59" s="23"/>
    </row>
    <row r="60" spans="2:19" ht="15" customHeight="1" x14ac:dyDescent="0.35">
      <c r="B60" s="144" t="s">
        <v>73</v>
      </c>
      <c r="C60" s="123">
        <f>IF(OR(C59&lt;0.05,C54=1),1,IF(Project!$D$8=2,1+V127*(1-ABS(C58)/(V125*V124))*EXP(-V126*C11/V124),IF(C59&gt;0.3,(1+0.6*V120),(1+2*V120*C59))))</f>
        <v>1</v>
      </c>
      <c r="E60" s="121" t="str">
        <f>CHOOSE(Project!$D$14,"orografiecoëfficiënt","coefficient d'orographie","")</f>
        <v>orografiecoëfficiënt</v>
      </c>
      <c r="F60" s="54"/>
    </row>
    <row r="61" spans="2:19" ht="15" customHeight="1" x14ac:dyDescent="0.25">
      <c r="L61" s="23"/>
      <c r="M61" s="23"/>
      <c r="Q61" s="24"/>
      <c r="R61" s="24"/>
    </row>
    <row r="62" spans="2:19" ht="15" customHeight="1" x14ac:dyDescent="0.25">
      <c r="B62" s="21" t="str">
        <f>CHOOSE(Project!$D$14,"Bepaling piekstuwdruk","Détermination pression dynamique de pointe","")</f>
        <v>Bepaling piekstuwdruk</v>
      </c>
      <c r="I62" s="5"/>
      <c r="J62" s="5"/>
      <c r="L62" s="23"/>
      <c r="M62" s="23"/>
      <c r="Q62" s="24"/>
      <c r="R62" s="24"/>
    </row>
    <row r="63" spans="2:19" ht="15" customHeight="1" x14ac:dyDescent="0.25">
      <c r="B63" s="102" t="s">
        <v>13</v>
      </c>
      <c r="C63" s="107">
        <f>IF(Project!$D$8=3,1,ROUND(C60*(1-0.0002*(LOG(C48)+3)^6),2))</f>
        <v>1</v>
      </c>
      <c r="E63" s="103" t="str">
        <f>CHOOSE(Project!$D$14,"turbulentiefactor","coefficient de turbulence","")</f>
        <v>turbulentiefactor</v>
      </c>
      <c r="F63" s="54"/>
      <c r="G63" s="54"/>
      <c r="H63" s="12"/>
      <c r="J63" s="64"/>
      <c r="L63" s="23"/>
      <c r="M63" s="23"/>
      <c r="Q63" s="24"/>
      <c r="R63" s="24"/>
    </row>
    <row r="64" spans="2:19" ht="15" customHeight="1" x14ac:dyDescent="0.35">
      <c r="B64" s="102" t="s">
        <v>15</v>
      </c>
      <c r="C64" s="145">
        <f>IF(C41&gt;C49,C63/(C60*LN(C41/C48)),C63/(C60*LN(C49/C48)))</f>
        <v>0.16690410034766703</v>
      </c>
      <c r="E64" s="103" t="str">
        <f>CHOOSE(Project!$D$14,"turbulentieintensiteit"," intensité de turbulence","")</f>
        <v>turbulentieintensiteit</v>
      </c>
      <c r="F64" s="54"/>
      <c r="G64" s="25"/>
      <c r="H64" s="12"/>
      <c r="J64" s="64"/>
      <c r="L64" s="23"/>
      <c r="M64" s="23"/>
      <c r="Q64" s="24"/>
      <c r="R64" s="24"/>
    </row>
    <row r="65" spans="2:18" ht="15" customHeight="1" x14ac:dyDescent="0.35">
      <c r="B65" s="102" t="s">
        <v>74</v>
      </c>
      <c r="C65" s="145">
        <f>C20*C50*C63</f>
        <v>4.5600000000000005</v>
      </c>
      <c r="E65" s="103" t="str">
        <f>CHOOSE(Project!$D$14,"standaard afwijking van de turbulentie","écart type de la turbulence","")</f>
        <v>standaard afwijking van de turbulentie</v>
      </c>
      <c r="F65" s="54"/>
      <c r="G65" s="54"/>
      <c r="H65" s="5"/>
      <c r="J65" s="64"/>
      <c r="L65" s="23"/>
      <c r="M65" s="23"/>
      <c r="Q65" s="24"/>
      <c r="R65" s="24"/>
    </row>
    <row r="66" spans="2:18" ht="15" customHeight="1" x14ac:dyDescent="0.35">
      <c r="B66" s="102" t="s">
        <v>75</v>
      </c>
      <c r="C66" s="107">
        <f>C65/C64</f>
        <v>27.321078334812398</v>
      </c>
      <c r="D66" s="103" t="s">
        <v>94</v>
      </c>
      <c r="E66" s="103" t="str">
        <f>CHOOSE(Project!$D$14,"gemiddelde windsnelheid","vitesse moyenne du vent","average windspeed","durchschnittliche Windgeschwindigkeit")</f>
        <v>gemiddelde windsnelheid</v>
      </c>
      <c r="F66" s="54"/>
      <c r="G66" s="54"/>
      <c r="H66" s="5"/>
      <c r="J66" s="5"/>
      <c r="L66" s="23"/>
      <c r="M66" s="23"/>
      <c r="Q66" s="24"/>
      <c r="R66" s="24"/>
    </row>
    <row r="67" spans="2:18" ht="15" customHeight="1" x14ac:dyDescent="0.25">
      <c r="B67" s="102" t="s">
        <v>16</v>
      </c>
      <c r="C67" s="56">
        <f>IF(Project!$D$8=2,1.225,1.25)</f>
        <v>1.25</v>
      </c>
      <c r="D67" s="103" t="s">
        <v>33</v>
      </c>
      <c r="E67" s="103" t="str">
        <f>CHOOSE(Project!$D$14,"volumemassa","masse volumique","","")</f>
        <v>volumemassa</v>
      </c>
      <c r="F67" s="54"/>
      <c r="G67" s="54"/>
      <c r="L67" s="23"/>
      <c r="M67" s="23"/>
      <c r="Q67" s="24"/>
      <c r="R67" s="24"/>
    </row>
    <row r="68" spans="2:18" ht="15" customHeight="1" x14ac:dyDescent="0.25">
      <c r="B68" s="122" t="s">
        <v>17</v>
      </c>
      <c r="C68" s="178">
        <f>ROUND((1+7*C64)*1/2*C67*C66^2,0)</f>
        <v>1012</v>
      </c>
      <c r="D68" s="66" t="s">
        <v>19</v>
      </c>
      <c r="E68" s="66" t="str">
        <f>CHOOSE(Project!$D$14,"berekende piekstuwdruk","pression dynamique de pointe calculé","")</f>
        <v>berekende piekstuwdruk</v>
      </c>
      <c r="F68" s="66"/>
      <c r="G68" s="66"/>
      <c r="Q68" s="24"/>
      <c r="R68" s="24"/>
    </row>
    <row r="69" spans="2:18" x14ac:dyDescent="0.25">
      <c r="B69" s="122" t="s">
        <v>17</v>
      </c>
      <c r="C69" s="180"/>
      <c r="D69" s="66" t="s">
        <v>19</v>
      </c>
      <c r="E69" s="77" t="str">
        <f>CHOOSE(Project!$D$14,"eigen ingave piekstuwdruk","entrée libre pression dynamique de pointe","")</f>
        <v>eigen ingave piekstuwdruk</v>
      </c>
      <c r="F69" s="77"/>
      <c r="G69" s="77"/>
      <c r="H69" s="54"/>
      <c r="Q69" s="24"/>
      <c r="R69" s="24"/>
    </row>
    <row r="70" spans="2:18" x14ac:dyDescent="0.25">
      <c r="B70" s="122" t="s">
        <v>17</v>
      </c>
      <c r="C70" s="179">
        <f>IF(C69=0,C68,C69)</f>
        <v>1012</v>
      </c>
      <c r="D70" s="66" t="s">
        <v>19</v>
      </c>
      <c r="E70" s="66" t="str">
        <f>CHOOSE(Project!$D$14,"weerhouden piekstuwdruk","pression dynamique de pointe retenue","")</f>
        <v>weerhouden piekstuwdruk</v>
      </c>
      <c r="F70" s="66"/>
      <c r="G70" s="66"/>
      <c r="Q70" s="24"/>
      <c r="R70" s="24"/>
    </row>
    <row r="71" spans="2:18" x14ac:dyDescent="0.25">
      <c r="Q71" s="24"/>
      <c r="R71" s="24"/>
    </row>
    <row r="72" spans="2:18" x14ac:dyDescent="0.25">
      <c r="B72" s="21" t="str">
        <f>CHOOSE(Project!$D$14,"Bepaling buitendrukcoefficienten","Détermination coefficients de pression extérieurs","")</f>
        <v>Bepaling buitendrukcoefficienten</v>
      </c>
      <c r="Q72" s="24"/>
      <c r="R72" s="24"/>
    </row>
    <row r="73" spans="2:18" x14ac:dyDescent="0.25">
      <c r="Q73" s="24"/>
      <c r="R73" s="24"/>
    </row>
    <row r="74" spans="2:18" x14ac:dyDescent="0.25">
      <c r="B74" s="155"/>
      <c r="C74" s="332" t="s">
        <v>34</v>
      </c>
      <c r="D74" s="333"/>
      <c r="E74" s="332" t="s">
        <v>35</v>
      </c>
      <c r="F74" s="333"/>
      <c r="G74" s="332" t="s">
        <v>36</v>
      </c>
      <c r="H74" s="333"/>
      <c r="I74" s="332" t="s">
        <v>37</v>
      </c>
      <c r="J74" s="333"/>
      <c r="Q74" s="24"/>
      <c r="R74" s="24"/>
    </row>
    <row r="75" spans="2:18" x14ac:dyDescent="0.25">
      <c r="B75" s="154"/>
      <c r="C75" s="153" t="str">
        <f>CHOOSE(Project!$D$14,"Onderdruk","Dépression","")</f>
        <v>Onderdruk</v>
      </c>
      <c r="D75" s="153" t="str">
        <f>CHOOSE(Project!$D$14,"Druk","Pression","Pressure")</f>
        <v>Druk</v>
      </c>
      <c r="E75" s="153" t="str">
        <f>CHOOSE(Project!$D$14,"Onderdruk","Dépression","")</f>
        <v>Onderdruk</v>
      </c>
      <c r="F75" s="153" t="str">
        <f>CHOOSE(Project!$D$14,"Druk","Pression","Pressure")</f>
        <v>Druk</v>
      </c>
      <c r="G75" s="153" t="str">
        <f>CHOOSE(Project!$D$14,"Onderdruk","Dépression","")</f>
        <v>Onderdruk</v>
      </c>
      <c r="H75" s="153" t="str">
        <f>CHOOSE(Project!$D$14,"Druk","Pression","Pressure")</f>
        <v>Druk</v>
      </c>
      <c r="I75" s="153" t="str">
        <f>CHOOSE(Project!$D$14,"Onderdruk","Dépression","")</f>
        <v>Onderdruk</v>
      </c>
      <c r="J75" s="153" t="str">
        <f>CHOOSE(Project!$D$14,"Druk","Pression","Pressure")</f>
        <v>Druk</v>
      </c>
      <c r="Q75" s="24"/>
      <c r="R75" s="24"/>
    </row>
    <row r="76" spans="2:18" ht="15.6" x14ac:dyDescent="0.35">
      <c r="B76" s="151" t="s">
        <v>61</v>
      </c>
      <c r="C76" s="146">
        <f>IF($C$12&lt;$C$9,-0.8,-1.2)</f>
        <v>-0.8</v>
      </c>
      <c r="D76" s="146">
        <f>IF(Project!$D$8=3,0.8,IF($C$11/$C$9&gt;0.25,0.8,0.7))</f>
        <v>0.8</v>
      </c>
      <c r="E76" s="146">
        <v>-1.2</v>
      </c>
      <c r="F76" s="146">
        <f>IF(Project!$D$8=3,0.8,IF($C$11/$C$9&gt;0.25,0.8,0.7))</f>
        <v>0.8</v>
      </c>
      <c r="G76" s="146">
        <f>IF($C$13&lt;$C$10,-0.8,-1.2)</f>
        <v>-0.8</v>
      </c>
      <c r="H76" s="146">
        <f>IF(Project!$D$8=3,0.8,IF($C$11/$C$10&gt;0.25,0.8,0.7))</f>
        <v>0.8</v>
      </c>
      <c r="I76" s="146">
        <v>-1.2</v>
      </c>
      <c r="J76" s="146">
        <f>IF(Project!$D$8=3,0.8,IF($C$11/$C$10&gt;0.25,0.8,0.7))</f>
        <v>0.8</v>
      </c>
      <c r="Q76" s="24"/>
      <c r="R76" s="24"/>
    </row>
    <row r="77" spans="2:18" ht="15.6" x14ac:dyDescent="0.35">
      <c r="B77" s="152" t="s">
        <v>62</v>
      </c>
      <c r="C77" s="147">
        <f>IF($C$12&lt;$C$9,-1.1,-1.4)</f>
        <v>-1.1000000000000001</v>
      </c>
      <c r="D77" s="148">
        <v>1</v>
      </c>
      <c r="E77" s="147">
        <v>-1.4</v>
      </c>
      <c r="F77" s="148">
        <v>1</v>
      </c>
      <c r="G77" s="147">
        <f>IF($C$13&lt;$C$10,-1.1,-1.4)</f>
        <v>-1.1000000000000001</v>
      </c>
      <c r="H77" s="148">
        <v>1</v>
      </c>
      <c r="I77" s="147">
        <v>-1.4</v>
      </c>
      <c r="J77" s="148">
        <v>1</v>
      </c>
      <c r="Q77" s="24"/>
      <c r="R77" s="24"/>
    </row>
    <row r="78" spans="2:18" x14ac:dyDescent="0.25">
      <c r="B78" s="54"/>
      <c r="C78" s="54"/>
      <c r="D78" s="54"/>
      <c r="E78" s="54"/>
      <c r="F78" s="54"/>
      <c r="G78" s="54"/>
      <c r="H78" s="54"/>
      <c r="I78" s="54"/>
      <c r="J78" s="54"/>
      <c r="Q78" s="24"/>
      <c r="R78" s="24"/>
    </row>
    <row r="79" spans="2:18" x14ac:dyDescent="0.25">
      <c r="B79" s="104" t="str">
        <f>CHOOSE(Project!$D$14,"Bepaling van de windbelasting","Détermination de la charge due au vent","")</f>
        <v>Bepaling van de windbelasting</v>
      </c>
      <c r="Q79" s="24"/>
      <c r="R79" s="24"/>
    </row>
    <row r="80" spans="2:18" x14ac:dyDescent="0.25">
      <c r="Q80" s="24"/>
      <c r="R80" s="24"/>
    </row>
    <row r="81" spans="2:18" ht="15" customHeight="1" x14ac:dyDescent="0.25">
      <c r="B81" s="102" t="s">
        <v>24</v>
      </c>
      <c r="C81" s="149">
        <v>4</v>
      </c>
      <c r="D81" s="54" t="s">
        <v>58</v>
      </c>
      <c r="E81" s="105" t="str">
        <f>CHOOSE(Project!$D$14,"belastingsoppervlak","aire de charge","","")</f>
        <v>belastingsoppervlak</v>
      </c>
      <c r="Q81" s="24"/>
      <c r="R81" s="24"/>
    </row>
    <row r="82" spans="2:18" ht="15" customHeight="1" x14ac:dyDescent="0.25">
      <c r="Q82" s="24"/>
      <c r="R82" s="24"/>
    </row>
    <row r="83" spans="2:18" ht="15" customHeight="1" x14ac:dyDescent="0.25">
      <c r="B83" s="151"/>
      <c r="C83" s="332" t="s">
        <v>34</v>
      </c>
      <c r="D83" s="333"/>
      <c r="E83" s="332" t="s">
        <v>35</v>
      </c>
      <c r="F83" s="333"/>
      <c r="G83" s="332" t="s">
        <v>36</v>
      </c>
      <c r="H83" s="333"/>
      <c r="I83" s="332" t="s">
        <v>37</v>
      </c>
      <c r="J83" s="333"/>
      <c r="Q83" s="24"/>
      <c r="R83" s="24"/>
    </row>
    <row r="84" spans="2:18" x14ac:dyDescent="0.25">
      <c r="B84" s="152"/>
      <c r="C84" s="140" t="str">
        <f>CHOOSE(Project!$D$14,"Onderdruk","Dépression","")</f>
        <v>Onderdruk</v>
      </c>
      <c r="D84" s="140" t="str">
        <f>CHOOSE(Project!$D$14,"Druk","Pression","Pressure")</f>
        <v>Druk</v>
      </c>
      <c r="E84" s="140" t="str">
        <f>CHOOSE(Project!$D$14,"Onderdruk","Dépression","")</f>
        <v>Onderdruk</v>
      </c>
      <c r="F84" s="140" t="str">
        <f>CHOOSE(Project!$D$14,"Druk","Pression","Pressure")</f>
        <v>Druk</v>
      </c>
      <c r="G84" s="140" t="str">
        <f>CHOOSE(Project!$D$14,"Onderdruk","Dépression","")</f>
        <v>Onderdruk</v>
      </c>
      <c r="H84" s="140" t="str">
        <f>CHOOSE(Project!$D$14,"Druk","Pression","Pressure")</f>
        <v>Druk</v>
      </c>
      <c r="I84" s="140" t="str">
        <f>CHOOSE(Project!$D$14,"Onderdruk","Dépression","")</f>
        <v>Onderdruk</v>
      </c>
      <c r="J84" s="140" t="str">
        <f>CHOOSE(Project!$D$14,"Druk","Pression","Pressure")</f>
        <v>Druk</v>
      </c>
      <c r="Q84" s="24"/>
      <c r="R84" s="24"/>
    </row>
    <row r="85" spans="2:18" ht="15.6" x14ac:dyDescent="0.35">
      <c r="B85" s="152" t="s">
        <v>63</v>
      </c>
      <c r="C85" s="150">
        <f t="shared" ref="C85:J85" si="0">IF($C$81&gt;1,IF($C$81&lt;10,C$77-(C$77-C$76)*LOG10($C$81),C$76),C$77)</f>
        <v>-0.91938200260161129</v>
      </c>
      <c r="D85" s="150">
        <f t="shared" si="0"/>
        <v>0.87958800173440754</v>
      </c>
      <c r="E85" s="150">
        <f t="shared" si="0"/>
        <v>-1.2795880017344075</v>
      </c>
      <c r="F85" s="150">
        <f t="shared" si="0"/>
        <v>0.87958800173440754</v>
      </c>
      <c r="G85" s="150">
        <f t="shared" si="0"/>
        <v>-0.91938200260161129</v>
      </c>
      <c r="H85" s="150">
        <f t="shared" si="0"/>
        <v>0.87958800173440754</v>
      </c>
      <c r="I85" s="150">
        <f t="shared" si="0"/>
        <v>-1.2795880017344075</v>
      </c>
      <c r="J85" s="150">
        <f t="shared" si="0"/>
        <v>0.87958800173440754</v>
      </c>
      <c r="Q85" s="24"/>
      <c r="R85" s="24"/>
    </row>
    <row r="86" spans="2:18" ht="15.6" x14ac:dyDescent="0.35">
      <c r="B86" s="152" t="s">
        <v>64</v>
      </c>
      <c r="C86" s="150">
        <f>C85-0.2</f>
        <v>-1.1193820026016112</v>
      </c>
      <c r="D86" s="150">
        <f>D85-(-0.3)</f>
        <v>1.1795880017344076</v>
      </c>
      <c r="E86" s="150">
        <f>E85-0.2</f>
        <v>-1.4795880017344074</v>
      </c>
      <c r="F86" s="150">
        <f>F85-(-0.3)</f>
        <v>1.1795880017344076</v>
      </c>
      <c r="G86" s="150">
        <f>G85-0.2</f>
        <v>-1.1193820026016112</v>
      </c>
      <c r="H86" s="150">
        <f>H85-(-0.3)</f>
        <v>1.1795880017344076</v>
      </c>
      <c r="I86" s="150">
        <f>I85-0.2</f>
        <v>-1.4795880017344074</v>
      </c>
      <c r="J86" s="150">
        <f>J85-(-0.3)</f>
        <v>1.1795880017344076</v>
      </c>
      <c r="Q86" s="24"/>
      <c r="R86" s="24"/>
    </row>
    <row r="87" spans="2:18" x14ac:dyDescent="0.25">
      <c r="B87" s="152" t="s">
        <v>55</v>
      </c>
      <c r="C87" s="177">
        <f t="shared" ref="C87:J87" si="1">$C$70*C86</f>
        <v>-1132.8145866328305</v>
      </c>
      <c r="D87" s="177">
        <f t="shared" si="1"/>
        <v>1193.7430577552204</v>
      </c>
      <c r="E87" s="177">
        <f t="shared" si="1"/>
        <v>-1497.3430577552203</v>
      </c>
      <c r="F87" s="177">
        <f t="shared" si="1"/>
        <v>1193.7430577552204</v>
      </c>
      <c r="G87" s="177">
        <f t="shared" si="1"/>
        <v>-1132.8145866328305</v>
      </c>
      <c r="H87" s="177">
        <f t="shared" si="1"/>
        <v>1193.7430577552204</v>
      </c>
      <c r="I87" s="177">
        <f t="shared" si="1"/>
        <v>-1497.3430577552203</v>
      </c>
      <c r="J87" s="177">
        <f t="shared" si="1"/>
        <v>1193.7430577552204</v>
      </c>
      <c r="Q87" s="24"/>
      <c r="R87" s="24"/>
    </row>
    <row r="88" spans="2:18" x14ac:dyDescent="0.25">
      <c r="Q88" s="24"/>
      <c r="R88" s="24"/>
    </row>
    <row r="89" spans="2:18" x14ac:dyDescent="0.25">
      <c r="Q89" s="24"/>
      <c r="R89" s="24"/>
    </row>
    <row r="90" spans="2:18" x14ac:dyDescent="0.25">
      <c r="Q90" s="24"/>
      <c r="R90" s="24"/>
    </row>
    <row r="91" spans="2:18" x14ac:dyDescent="0.25">
      <c r="Q91" s="24"/>
      <c r="R91" s="24"/>
    </row>
    <row r="92" spans="2:18" x14ac:dyDescent="0.25">
      <c r="C92" s="247"/>
      <c r="E92" s="5"/>
      <c r="Q92" s="24"/>
      <c r="R92" s="24"/>
    </row>
    <row r="93" spans="2:18" x14ac:dyDescent="0.25">
      <c r="Q93" s="24"/>
      <c r="R93" s="24"/>
    </row>
    <row r="94" spans="2:18" x14ac:dyDescent="0.25">
      <c r="Q94" s="24"/>
      <c r="R94" s="24"/>
    </row>
    <row r="95" spans="2:18" x14ac:dyDescent="0.25">
      <c r="Q95" s="24"/>
      <c r="R95" s="24"/>
    </row>
    <row r="96" spans="2:18" x14ac:dyDescent="0.25">
      <c r="Q96" s="24"/>
      <c r="R96" s="24"/>
    </row>
    <row r="97" spans="17:23" x14ac:dyDescent="0.25">
      <c r="Q97" s="24"/>
      <c r="R97" s="24"/>
      <c r="V97" s="3">
        <f>INDEX(Wind!$Y$163:$Y$164,MATCH(Wind!$C$27,Wind!$X$163:$X$164,0))</f>
        <v>0</v>
      </c>
    </row>
    <row r="98" spans="17:23" x14ac:dyDescent="0.25">
      <c r="Q98" s="24"/>
      <c r="R98" s="24"/>
    </row>
    <row r="99" spans="17:23" x14ac:dyDescent="0.25">
      <c r="Q99" s="24"/>
      <c r="R99" s="24"/>
      <c r="U99">
        <v>1</v>
      </c>
      <c r="V99" s="1" t="s">
        <v>6</v>
      </c>
    </row>
    <row r="100" spans="17:23" x14ac:dyDescent="0.25">
      <c r="Q100" s="24"/>
      <c r="R100" s="24"/>
      <c r="U100">
        <v>2</v>
      </c>
      <c r="V100" s="1" t="s">
        <v>5</v>
      </c>
    </row>
    <row r="101" spans="17:23" x14ac:dyDescent="0.25">
      <c r="Q101" s="24"/>
      <c r="R101" s="24"/>
      <c r="U101">
        <v>3</v>
      </c>
      <c r="V101" s="1" t="s">
        <v>4</v>
      </c>
    </row>
    <row r="102" spans="17:23" x14ac:dyDescent="0.25">
      <c r="Q102" s="24"/>
      <c r="R102" s="24"/>
      <c r="U102">
        <v>4</v>
      </c>
      <c r="V102" s="1" t="s">
        <v>3</v>
      </c>
    </row>
    <row r="103" spans="17:23" x14ac:dyDescent="0.25">
      <c r="Q103" s="24"/>
      <c r="R103" s="24"/>
    </row>
    <row r="104" spans="17:23" x14ac:dyDescent="0.25">
      <c r="Q104" s="24"/>
      <c r="R104" s="24"/>
      <c r="U104" s="3" t="str">
        <f>$W$153</f>
        <v>Belgie/Luxemburg</v>
      </c>
    </row>
    <row r="105" spans="17:23" x14ac:dyDescent="0.25">
      <c r="Q105" s="24"/>
      <c r="R105" s="24"/>
      <c r="U105" s="10" t="s">
        <v>23</v>
      </c>
      <c r="V105" s="48">
        <f>IF($C$59&gt;0.05,IF($C$59&gt;0.3,$C$55/0.3,$C$56),0)</f>
        <v>0</v>
      </c>
    </row>
    <row r="106" spans="17:23" x14ac:dyDescent="0.25">
      <c r="Q106" s="24"/>
      <c r="R106" s="24"/>
      <c r="U106" s="10" t="s">
        <v>24</v>
      </c>
      <c r="V106" s="49">
        <f>IF($V$105=0,0,0.1552*($C$11/$V$105)^4-0.8575*($C$11/$V$105)^3+1.8133*($C$11/$V$105)^2-1.9115*($C$11/$V$105)+1.0124)</f>
        <v>0</v>
      </c>
      <c r="W106" s="3" t="s">
        <v>39</v>
      </c>
    </row>
    <row r="107" spans="17:23" x14ac:dyDescent="0.25">
      <c r="Q107" s="24"/>
      <c r="R107" s="24"/>
      <c r="U107" s="10" t="s">
        <v>25</v>
      </c>
      <c r="V107" s="49">
        <f>IF($V$105=0,0,0.3542*($C$11/$V$105)^2-1.0577*($C$11/$V$105)+2.6456)</f>
        <v>0</v>
      </c>
      <c r="W107" s="3" t="s">
        <v>38</v>
      </c>
    </row>
    <row r="108" spans="17:23" x14ac:dyDescent="0.25">
      <c r="Q108" s="24"/>
      <c r="R108" s="24"/>
      <c r="U108" s="10" t="s">
        <v>9</v>
      </c>
      <c r="V108" s="63">
        <f>IF($V$105=0,0,IF(OR($C$11/$V$105&gt;2,$C$58/$C$56&lt;-1.5),0,$V$106*EXP($V$107*$C$58/$C$56)))</f>
        <v>0</v>
      </c>
      <c r="W108" s="3" t="s">
        <v>38</v>
      </c>
    </row>
    <row r="109" spans="17:23" x14ac:dyDescent="0.25">
      <c r="Q109" s="24"/>
      <c r="R109" s="24"/>
    </row>
    <row r="110" spans="17:23" x14ac:dyDescent="0.25">
      <c r="Q110" s="24"/>
      <c r="R110" s="24"/>
      <c r="U110" s="10" t="s">
        <v>24</v>
      </c>
      <c r="V110" s="49">
        <f>IF($V$105=0,0,IF(($C$11/$V$105)&lt;0.1,-0.1342*(LOG10(0.1))^3-0.8222*(LOG10(0.1))^2+0.4609*(LOG10(0.1))-0.09791,-0.1342*(LOG10($C$11/$V$105))^3-0.8222*(LOG10($C$11/$V$105))^2+0.4609*(LOG10($C$11/$V$105))-0.09791))</f>
        <v>0</v>
      </c>
      <c r="W110" s="3" t="s">
        <v>40</v>
      </c>
    </row>
    <row r="111" spans="17:23" x14ac:dyDescent="0.25">
      <c r="Q111" s="24"/>
      <c r="R111" s="24"/>
      <c r="U111" s="10" t="s">
        <v>25</v>
      </c>
      <c r="V111" s="49">
        <f>IF($V$105=0,0,IF(($C$11/$V$105)&lt;0.1,-0.0196*(LOG10(0.1))^3-0.891*(LOG10(0.1))^2+0.5343*(LOG10(0.1))-0.1156,-0.0196*(LOG10($C$11/$V$105))^3-0.891*(LOG10($C$11/$V$105))^2+0.5343*(LOG10($C$11/$V$105))-0.1156))</f>
        <v>0</v>
      </c>
      <c r="W111" s="3" t="s">
        <v>40</v>
      </c>
    </row>
    <row r="112" spans="17:23" x14ac:dyDescent="0.25">
      <c r="Q112" s="24"/>
      <c r="R112" s="24"/>
      <c r="S112" s="49"/>
      <c r="U112" s="10" t="s">
        <v>42</v>
      </c>
      <c r="V112" s="49">
        <f>IF($V$105=0,0,IF(($C$11/$V$105)&lt;0.1,0.803*(LOG10(0.1))^3+0.4236*(LOG10(0.1))^2-0.5738*(LOG10(0.1))+0.1606,0.803*(LOG10($C$11/$V$105))^3+0.4236*(LOG10($C$11/$V$105))^2-0.5738*(LOG10($C$11/$V$105))+0.1606))</f>
        <v>0</v>
      </c>
      <c r="W112" s="3" t="s">
        <v>40</v>
      </c>
    </row>
    <row r="113" spans="17:24" x14ac:dyDescent="0.25">
      <c r="Q113" s="24"/>
      <c r="R113" s="24"/>
      <c r="U113" s="10" t="s">
        <v>9</v>
      </c>
      <c r="V113" s="63">
        <f>IF(V105=0,0,IF(OR($C$11/$V$105&gt;2,$C$58/$V$105&gt;3.5),0,$V$110*(LOG10($C$58/$V$105))^2+$V$111*(LOG10($C$58/$V$105))+$V$112))</f>
        <v>0</v>
      </c>
      <c r="W113" s="3" t="s">
        <v>47</v>
      </c>
    </row>
    <row r="114" spans="17:24" x14ac:dyDescent="0.25">
      <c r="Q114" s="24"/>
      <c r="R114" s="24"/>
      <c r="U114" s="10" t="s">
        <v>9</v>
      </c>
      <c r="V114" s="63">
        <f>IF(V105=0,0,V106+(($V$110*(LOG10(0.1))^2+$V$111*(LOG10(0.1))+$V$112)-V106)*($C$58/$V$105)/0.1)</f>
        <v>0</v>
      </c>
      <c r="W114" s="3" t="s">
        <v>46</v>
      </c>
    </row>
    <row r="115" spans="17:24" x14ac:dyDescent="0.25">
      <c r="Q115" s="24"/>
      <c r="R115" s="24"/>
      <c r="U115" s="10" t="s">
        <v>9</v>
      </c>
      <c r="V115" s="63">
        <f>IF($V$105=0,0,IF($C$58/$V$105&gt;0.1,$V$113,$V$114))</f>
        <v>0</v>
      </c>
      <c r="W115" s="3" t="s">
        <v>40</v>
      </c>
    </row>
    <row r="116" spans="17:24" x14ac:dyDescent="0.25">
      <c r="Q116" s="24"/>
      <c r="R116" s="24"/>
      <c r="X116" s="8" t="str">
        <f>CHOOSE(Project!$D$14,"m/s referentie windsnelheid","m/s vitesse du vent de reference","m/s reference wind speed","m/s Referenz Windgeschwindigkeit")</f>
        <v>m/s referentie windsnelheid</v>
      </c>
    </row>
    <row r="117" spans="17:24" x14ac:dyDescent="0.25">
      <c r="Q117" s="24"/>
      <c r="R117" s="24"/>
      <c r="U117" s="10" t="s">
        <v>25</v>
      </c>
      <c r="V117" s="49">
        <f>IF($V$105=0,0,-0.3056*($C$11/$V$105)^2+1.0212*($C$11/$V$105)-1.7637)</f>
        <v>0</v>
      </c>
      <c r="W117" s="3" t="s">
        <v>41</v>
      </c>
      <c r="X117" s="7">
        <f>IF(Project!$D$8=1,23,IF(Project!$D$8=2,22,24.5))</f>
        <v>23</v>
      </c>
    </row>
    <row r="118" spans="17:24" x14ac:dyDescent="0.25">
      <c r="Q118" s="24"/>
      <c r="R118" s="24"/>
      <c r="U118" s="10" t="s">
        <v>9</v>
      </c>
      <c r="V118" s="63">
        <f>IF(OR($V$105=0,$C$57=0),0,IF(OR($C$11/$V$105&gt;2,$C$58/$C$57&gt;2),0,$V$106*EXP($V$117*$C$58/$C$57)))</f>
        <v>0</v>
      </c>
      <c r="W118" s="3" t="s">
        <v>41</v>
      </c>
      <c r="X118" s="244">
        <f>IF(Project!$D$8=1,24,IF(Project!$D$8=2,24,27))</f>
        <v>24</v>
      </c>
    </row>
    <row r="119" spans="17:24" x14ac:dyDescent="0.25">
      <c r="Q119" s="24"/>
      <c r="R119" s="24"/>
      <c r="X119" s="244">
        <f>IF(Project!$D$8=1,25,IF(Project!$D$8=2,26,29.5))</f>
        <v>25</v>
      </c>
    </row>
    <row r="120" spans="17:24" x14ac:dyDescent="0.25">
      <c r="U120" s="10" t="s">
        <v>9</v>
      </c>
      <c r="V120" s="50">
        <f>IF($C$58&gt;0,IF($C$54=2,$V$115,$V$118),$V$108)</f>
        <v>0</v>
      </c>
      <c r="X120" s="244">
        <f>IF(Project!$D$8=1,26,IF(Project!$D$8=2,28,""))</f>
        <v>26</v>
      </c>
    </row>
    <row r="121" spans="17:24" ht="16.2" x14ac:dyDescent="0.35">
      <c r="U121" s="14" t="s">
        <v>14</v>
      </c>
      <c r="V121" s="48">
        <f>IF(C59&gt;0.05,IF(C59&gt;0.3,(1+0.6*V120),(1+2*V120*C59)),1)</f>
        <v>1</v>
      </c>
    </row>
    <row r="123" spans="17:24" x14ac:dyDescent="0.25">
      <c r="U123" s="3" t="str">
        <f>$W$154</f>
        <v>Frankrijk</v>
      </c>
      <c r="X123" s="51" t="str">
        <f>CHOOSE(Project!$D$14,"ruwheidscategorie","catégorie de rugosité","roughness category","....")</f>
        <v>ruwheidscategorie</v>
      </c>
    </row>
    <row r="124" spans="17:24" x14ac:dyDescent="0.25">
      <c r="U124" s="10" t="s">
        <v>29</v>
      </c>
      <c r="V124" s="3">
        <f>IF(C59&gt;0.25,2*C55,C56/2)</f>
        <v>0</v>
      </c>
      <c r="X124" s="26">
        <v>0</v>
      </c>
    </row>
    <row r="125" spans="17:24" x14ac:dyDescent="0.25">
      <c r="U125" s="10" t="s">
        <v>27</v>
      </c>
      <c r="V125" s="3">
        <f>IF(AND(C58&gt;0,C54=2),4,1.5)</f>
        <v>1.5</v>
      </c>
      <c r="X125" s="27" t="str">
        <f>IF(Project!$D$8=1,"I","II")</f>
        <v>I</v>
      </c>
    </row>
    <row r="126" spans="17:24" x14ac:dyDescent="0.25">
      <c r="U126" s="10" t="s">
        <v>26</v>
      </c>
      <c r="V126" s="3">
        <f>INDEX($V$168:$V$171,MATCH($C$54,$X$168:$X$171,0))</f>
        <v>0</v>
      </c>
      <c r="X126" s="27" t="str">
        <f>IF(Project!$D$8=1,"II",IF(Project!$D$8=2,"IIIa","III"))</f>
        <v>II</v>
      </c>
    </row>
    <row r="127" spans="17:24" x14ac:dyDescent="0.25">
      <c r="U127" s="10" t="s">
        <v>28</v>
      </c>
      <c r="V127" s="48">
        <f>IF(V124=0,1,INDEX($U$168:$U$171,MATCH($C$54,$X$168:$X$171,0))*C55/V124)</f>
        <v>1</v>
      </c>
      <c r="X127" s="27" t="str">
        <f>IF(Project!$D$8=1,"III",IF(Project!$D$8=2,"IIIb",""))</f>
        <v>III</v>
      </c>
    </row>
    <row r="128" spans="17:24" ht="16.2" x14ac:dyDescent="0.35">
      <c r="U128" s="14" t="s">
        <v>14</v>
      </c>
      <c r="V128" s="3">
        <f>IF(C59&gt;0.05,1+V127*(1-ABS(C58)/(V125*V124))*EXP(-V126*C11/V124),1)</f>
        <v>1</v>
      </c>
      <c r="X128" s="26" t="str">
        <f>IF(Project!$D$8=3,"","IV")</f>
        <v>IV</v>
      </c>
    </row>
    <row r="130" spans="21:24" ht="15" customHeight="1" x14ac:dyDescent="0.25">
      <c r="U130" s="341" t="s">
        <v>12</v>
      </c>
      <c r="V130" s="341" t="s">
        <v>11</v>
      </c>
      <c r="W130" s="334" t="str">
        <f>CHOOSE(Project!$D$14,"Terreinruwheidscategorieën","Catégories de rugosité de terrain","Upper roughness terrain category")</f>
        <v>Terreinruwheidscategorieën</v>
      </c>
      <c r="X130" s="335"/>
    </row>
    <row r="131" spans="21:24" ht="14.25" customHeight="1" x14ac:dyDescent="0.25">
      <c r="U131" s="342"/>
      <c r="V131" s="342"/>
      <c r="W131" s="336"/>
      <c r="X131" s="337"/>
    </row>
    <row r="132" spans="21:24" ht="140.25" customHeight="1" x14ac:dyDescent="0.25">
      <c r="U132" s="28">
        <v>5.0000000000000001E-3</v>
      </c>
      <c r="V132" s="28">
        <v>1</v>
      </c>
      <c r="W132" s="29" t="str">
        <f>CHOOSE(Project!$D$14,"Zee of kuststreek die blootstaat aan zeewinden","Mer ou zone côtière exposée aux vents de mer","Sea,costal area exposed to the open sea")</f>
        <v>Zee of kuststreek die blootstaat aan zeewinden</v>
      </c>
      <c r="X132" s="30">
        <v>0</v>
      </c>
    </row>
    <row r="133" spans="21:24" ht="140.25" customHeight="1" x14ac:dyDescent="0.25">
      <c r="U133" s="28">
        <v>0.01</v>
      </c>
      <c r="V133" s="28">
        <v>1</v>
      </c>
      <c r="W133" s="31" t="str">
        <f>CHOOSE(Project!$D$14,"Meer of zone met uiterst weinig vegetatie die vrij is van obstakels","Lac ou zone à végétation négligeable et libre de tout obstacle", "Lakes or area with negligible vegetation and without obstacles")</f>
        <v>Meer of zone met uiterst weinig vegetatie die vrij is van obstakels</v>
      </c>
      <c r="X133" s="30" t="s">
        <v>0</v>
      </c>
    </row>
    <row r="134" spans="21:24" ht="140.25" customHeight="1" x14ac:dyDescent="0.25">
      <c r="U134" s="28">
        <v>0.05</v>
      </c>
      <c r="V134" s="28">
        <v>2</v>
      </c>
      <c r="W134" s="32" t="str">
        <f>CHOOSE(Project!$D$14,"Zone met lage vegetatie (zoals gras), met of zonder alleenstaande obstakels (bomen,gebouwen) op een onderlinge afstand van minstens 20 keer hun hoogte","Zone à végétation basse telle que de l’herbe, avec ou non quelques obstacles isolés (arbres, bâtiments) séparés les uns des autres d’au moins 20 fois leur hauteur","Area with low vegetation such as grass and isolated obstacles (trees, buildings) with separations of at least 20 obstacle heights")</f>
        <v>Zone met lage vegetatie (zoals gras), met of zonder alleenstaande obstakels (bomen,gebouwen) op een onderlinge afstand van minstens 20 keer hun hoogte</v>
      </c>
      <c r="X134" s="33" t="s">
        <v>1</v>
      </c>
    </row>
    <row r="135" spans="21:24" ht="140.25" customHeight="1" x14ac:dyDescent="0.25">
      <c r="U135" s="28">
        <v>0.3</v>
      </c>
      <c r="V135" s="28">
        <v>5</v>
      </c>
      <c r="W135" s="29" t="str">
        <f>CHOOSE(Project!$D$14,"Zone met regelmatige begroeiing, met alleenstaande gebouwen of obstakels op onderlinge afstand van maximum 20 keer hun hoogte (bv. Dorpen, voorsteden, permanente bossen)","Zone avec une couverture régulière, des bâtiments ou des obstacles isolés, séparés d’au plus 20 fois leur hauteur (par exemple, village, zone suburbaine, forêt permanente)","Area with regular cover of vegetation or buildings or with isolated obstacles with separations of maximum 20 obstacle heights (such as villages, suburban terrain; permanent forrest)")</f>
        <v>Zone met regelmatige begroeiing, met alleenstaande gebouwen of obstakels op onderlinge afstand van maximum 20 keer hun hoogte (bv. Dorpen, voorsteden, permanente bossen)</v>
      </c>
      <c r="X135" s="30" t="s">
        <v>2</v>
      </c>
    </row>
    <row r="136" spans="21:24" ht="140.25" customHeight="1" x14ac:dyDescent="0.25">
      <c r="U136" s="28">
        <v>1</v>
      </c>
      <c r="V136" s="28">
        <v>10</v>
      </c>
      <c r="W136" s="31" t="str">
        <f>CHOOSE(Project!$D$14,"Stedelijke zone waar minstens 15 % van het oppervlak wordt ingenomen door gebouwen met gemiddelde hoogte van meer dan 15 m","Zone urbaine dont au moins 15 % de la surface est occupée par des bâtiments de hauteur moyenne supérieure à 15 m","Area in wich at least 15% of the surface is covered with buildings and their average height exeeds 15 m")</f>
        <v>Stedelijke zone waar minstens 15 % van het oppervlak wordt ingenomen door gebouwen met gemiddelde hoogte van meer dan 15 m</v>
      </c>
      <c r="X136" s="30" t="s">
        <v>8</v>
      </c>
    </row>
    <row r="137" spans="21:24" ht="120" customHeight="1" x14ac:dyDescent="0.25">
      <c r="U137" s="28">
        <v>5.0000000000000001E-3</v>
      </c>
      <c r="V137" s="28">
        <v>1</v>
      </c>
      <c r="W137" s="29" t="str">
        <f>CHOOSE(Project!$D$14,"Zee of kuststreek die blootstaat aan zeewinden ; meren en wateroppervlakken met vrije wind over een afstand van minimum 5 km.","Mer ou zone côtière exposée aux vents de mer ; lacs et plans d’eau parcourus
par le vent sur une distance d’au moins 5 km","..........")</f>
        <v>Zee of kuststreek die blootstaat aan zeewinden ; meren en wateroppervlakken met vrije wind over een afstand van minimum 5 km.</v>
      </c>
      <c r="X137" s="30">
        <v>0</v>
      </c>
    </row>
    <row r="138" spans="21:24" ht="120" customHeight="1" x14ac:dyDescent="0.25">
      <c r="U138" s="28">
        <v>0.05</v>
      </c>
      <c r="V138" s="28">
        <v>2</v>
      </c>
      <c r="W138" s="31" t="str">
        <f>CHOOSE(Project!$D$14,"Open terrein, met of zonder alleenstaande obstakels (bomen, gebouwen, etc.) van elkaar gescheiden door meer dan 40 keer hun eigen hoogte ","Rase campagne, avec ou non quelques obstacles isolés (arbres, bâtiments, etc.) séparés les uns des autres de plus de 40 fois leur hauteur", "... ")</f>
        <v xml:space="preserve">Open terrein, met of zonder alleenstaande obstakels (bomen, gebouwen, etc.) van elkaar gescheiden door meer dan 40 keer hun eigen hoogte </v>
      </c>
      <c r="X138" s="30" t="s">
        <v>1</v>
      </c>
    </row>
    <row r="139" spans="21:24" ht="120" customHeight="1" x14ac:dyDescent="0.25">
      <c r="U139" s="28">
        <v>0.2</v>
      </c>
      <c r="V139" s="28">
        <v>5</v>
      </c>
      <c r="W139" s="32" t="str">
        <f>CHOOSE(Project!$D$14,"Platteland met hagen, wijngaarden, bosjes, verspreide bebouwing","Campagne avec des haies ; vignobles ; bocage ; habitat dispersé","........")</f>
        <v>Platteland met hagen, wijngaarden, bosjes, verspreide bebouwing</v>
      </c>
      <c r="X139" s="33" t="s">
        <v>21</v>
      </c>
    </row>
    <row r="140" spans="21:24" ht="120" customHeight="1" x14ac:dyDescent="0.25">
      <c r="U140" s="28">
        <v>0.5</v>
      </c>
      <c r="V140" s="28">
        <v>9</v>
      </c>
      <c r="W140" s="29" t="str">
        <f>CHOOSE(Project!$D$14,"Verstedelijkte of industriële gebieden; bos; boomgaarden
","Zones urbanisées ou industrielles ; bocage dense ; vergers",".....")</f>
        <v xml:space="preserve">Verstedelijkte of industriële gebieden; bos; boomgaarden
</v>
      </c>
      <c r="X140" s="30" t="s">
        <v>22</v>
      </c>
    </row>
    <row r="141" spans="21:24" ht="120" customHeight="1" x14ac:dyDescent="0.25">
      <c r="U141" s="28">
        <v>1</v>
      </c>
      <c r="V141" s="28">
        <v>15</v>
      </c>
      <c r="W141" s="31" t="str">
        <f>CHOOSE(Project!$D$14,"Stedelijke zone waar minstens 15 % van het oppervlak wordt ingenomen door gebouwen met gemiddelde hoogte van meer dan 15 m ; woud","Zones urbaines dont au moins 15 % de la surface sont recouverts de bâtiments
dont la hauteur moyenne est supérieure à 15 m ; forêts",".....")</f>
        <v>Stedelijke zone waar minstens 15 % van het oppervlak wordt ingenomen door gebouwen met gemiddelde hoogte van meer dan 15 m ; woud</v>
      </c>
      <c r="X141" s="30" t="s">
        <v>8</v>
      </c>
    </row>
    <row r="142" spans="21:24" ht="120" customHeight="1" x14ac:dyDescent="0.25">
      <c r="U142" s="28">
        <v>5.0000000000000001E-3</v>
      </c>
      <c r="V142" s="28">
        <v>1</v>
      </c>
      <c r="W142" s="29" t="str">
        <f>CHOOSE(Project!$D$14,"Zee of kuststreek die blootstaat aan zeewinden","Mer ou zone côtière exposée aux vents de mer","Sea,costal area exposed to the open sea")</f>
        <v>Zee of kuststreek die blootstaat aan zeewinden</v>
      </c>
      <c r="X142" s="246">
        <v>0</v>
      </c>
    </row>
    <row r="143" spans="21:24" ht="120" customHeight="1" x14ac:dyDescent="0.25">
      <c r="U143" s="28">
        <v>0.2</v>
      </c>
      <c r="V143" s="28">
        <v>4</v>
      </c>
      <c r="W143" s="32" t="str">
        <f>CHOOSE(Project!$D$14,"Onbebouwd gebied : Zone met lage vegetatie (zoals gras), met of zonder alleenstaande obstakels (bomen,gebouwen) op een onderlinge afstand van minstens 20 keer hun hoogte","Zone à végétation basse telle que de l’herbe, avec ou non quelques obstacles isolés (arbres, bâtiments) séparés les uns des autres d’au moins 20 fois leur hauteur","Area with low vegetation such as grass and isolated obstacles (trees, buildings) with separations of at least 20 obstacle heights")</f>
        <v>Onbebouwd gebied : Zone met lage vegetatie (zoals gras), met of zonder alleenstaande obstakels (bomen,gebouwen) op een onderlinge afstand van minstens 20 keer hun hoogte</v>
      </c>
      <c r="X143" s="245" t="s">
        <v>1</v>
      </c>
    </row>
    <row r="144" spans="21:24" ht="120" customHeight="1" x14ac:dyDescent="0.25">
      <c r="U144" s="28">
        <v>0.5</v>
      </c>
      <c r="V144" s="28">
        <v>7</v>
      </c>
      <c r="W144" s="29" t="str">
        <f>CHOOSE(Project!$D$14,"Bebouwd gebied : Zone met regelmatige begroeiing, met alleenstaande gebouwen of obstakels op onderlinge afstand van maximum 20 keer hun hoogte (bv. Dorpen, voorsteden, permanente bossen)","Zone avec une couverture régulière, des bâtiments ou des obstacles isolés, séparés d’au plus 20 fois leur hauteur (par exemple, village, zone suburbaine, forêt permanente)","Area with regular cover of vegetation or buildings or with isolated obstacles with separations of maximum 20 obstacle heights (such as villages, suburban terrain; permanent forrest)")</f>
        <v>Bebouwd gebied : Zone met regelmatige begroeiing, met alleenstaande gebouwen of obstakels op onderlinge afstand van maximum 20 keer hun hoogte (bv. Dorpen, voorsteden, permanente bossen)</v>
      </c>
      <c r="X144" s="246" t="s">
        <v>2</v>
      </c>
    </row>
    <row r="146" spans="23:25" x14ac:dyDescent="0.25">
      <c r="W146" s="34"/>
      <c r="X146" s="35"/>
    </row>
    <row r="147" spans="23:25" ht="140.25" customHeight="1" x14ac:dyDescent="0.25">
      <c r="W147" s="29" t="str">
        <f>CHOOSE(Project!$D$14,"plat dak","toiture platte","flat roof","flaches Dach")</f>
        <v>plat dak</v>
      </c>
      <c r="X147" s="30">
        <v>1</v>
      </c>
    </row>
    <row r="148" spans="23:25" ht="140.25" customHeight="1" x14ac:dyDescent="0.25">
      <c r="W148" s="29" t="str">
        <f>CHOOSE(Project!$D$14,"lessenaarsdak","toiture avec 1 pente","........","..........")</f>
        <v>lessenaarsdak</v>
      </c>
      <c r="X148" s="36">
        <v>2</v>
      </c>
    </row>
    <row r="149" spans="23:25" ht="140.25" customHeight="1" x14ac:dyDescent="0.25">
      <c r="W149" s="29" t="str">
        <f>CHOOSE(Project!$D$14,"zadeldak","toiture avec 2 pentes","...",".....")</f>
        <v>zadeldak</v>
      </c>
      <c r="X149" s="36">
        <v>3</v>
      </c>
    </row>
    <row r="150" spans="23:25" ht="140.25" customHeight="1" x14ac:dyDescent="0.25">
      <c r="W150" s="29" t="str">
        <f>CHOOSE(Project!$D$14,"dak met 4 hellingen","toiture avec 4 pentes","........","..........")</f>
        <v>dak met 4 hellingen</v>
      </c>
      <c r="X150" s="36">
        <v>4</v>
      </c>
    </row>
    <row r="151" spans="23:25" ht="14.25" customHeight="1" x14ac:dyDescent="0.25">
      <c r="X151" s="37"/>
    </row>
    <row r="152" spans="23:25" ht="14.25" customHeight="1" x14ac:dyDescent="0.25">
      <c r="W152" s="52"/>
      <c r="X152" s="53"/>
    </row>
    <row r="153" spans="23:25" ht="399" customHeight="1" x14ac:dyDescent="0.25">
      <c r="W153" s="38" t="str">
        <f>CHOOSE(Project!D14,"Belgie/Luxemburg","Belgique/Luxembourg","Belgium/Luxemburg","Belgien/Luxemburg")</f>
        <v>Belgie/Luxemburg</v>
      </c>
    </row>
    <row r="154" spans="23:25" ht="399" customHeight="1" x14ac:dyDescent="0.25">
      <c r="W154" s="38" t="str">
        <f>CHOOSE(Project!D14,"Frankrijk","France","France","Frankreich")</f>
        <v>Frankrijk</v>
      </c>
    </row>
    <row r="155" spans="23:25" ht="399" customHeight="1" x14ac:dyDescent="0.25">
      <c r="W155" s="38" t="str">
        <f>CHOOSE(Project!D14,"Nederland","Pays Bas","The Netherlands","Niederlande")</f>
        <v>Nederland</v>
      </c>
      <c r="X155" s="39"/>
    </row>
    <row r="156" spans="23:25" x14ac:dyDescent="0.25">
      <c r="X156" s="39"/>
    </row>
    <row r="157" spans="23:25" x14ac:dyDescent="0.25">
      <c r="W157" s="338"/>
      <c r="X157" s="339"/>
    </row>
    <row r="158" spans="23:25" ht="14.25" customHeight="1" x14ac:dyDescent="0.25">
      <c r="W158" s="338"/>
      <c r="X158" s="340"/>
      <c r="Y158" s="39"/>
    </row>
    <row r="159" spans="23:25" ht="150.75" customHeight="1" x14ac:dyDescent="0.25">
      <c r="W159" s="40" t="str">
        <f>CHOOSE(Project!$D$14,"Gebouw op vlak terrein","Bâtiment en terrain plat","Building on flat..;",".....")</f>
        <v>Gebouw op vlak terrein</v>
      </c>
      <c r="X159" s="41">
        <v>1</v>
      </c>
      <c r="Y159" s="39"/>
    </row>
    <row r="160" spans="23:25" ht="150" customHeight="1" x14ac:dyDescent="0.25">
      <c r="W160" s="40" t="str">
        <f>CHOOSE(Project!$D$14,"Kustlijn en gebouw gelocaliseerd in ruwheidsklasse I of II","Côte mer et bâtiment en classe de rugosité I ou II","Costline and building located in ..;I or II",".....")</f>
        <v>Kustlijn en gebouw gelocaliseerd in ruwheidsklasse I of II</v>
      </c>
      <c r="X160" s="42">
        <v>2</v>
      </c>
      <c r="Y160" s="39"/>
    </row>
    <row r="161" spans="21:25" ht="150" customHeight="1" x14ac:dyDescent="0.25">
      <c r="W161" s="40" t="str">
        <f>CHOOSE(Project!$D$14,"Terrein met niveauverschil of helling","Terrain avec difference de niveau ou pente","... With leveldifference or sloop","......")</f>
        <v>Terrein met niveauverschil of helling</v>
      </c>
      <c r="X161" s="42">
        <v>3</v>
      </c>
      <c r="Y161" s="39"/>
    </row>
    <row r="162" spans="21:25" ht="15.75" customHeight="1" x14ac:dyDescent="0.25">
      <c r="W162" s="40"/>
      <c r="X162" s="42"/>
      <c r="Y162" s="39"/>
    </row>
    <row r="163" spans="21:25" ht="150" customHeight="1" x14ac:dyDescent="0.25">
      <c r="W163" s="40"/>
      <c r="X163" s="43" t="str">
        <f>CHOOSE(Project!$D$14,"Neen","Non","No","Nein")</f>
        <v>Neen</v>
      </c>
      <c r="Y163" s="39"/>
    </row>
    <row r="164" spans="21:25" ht="150" customHeight="1" x14ac:dyDescent="0.25">
      <c r="W164" s="40" t="str">
        <f>CHOOSE(Project!$D$14,"Gebouw gelocaliseerd in ruwheidsklasse IV","Batiment localisé en classe de rigosité IV","Building located in ... IV","...")</f>
        <v>Gebouw gelocaliseerd in ruwheidsklasse IV</v>
      </c>
      <c r="X164" s="43" t="str">
        <f>CHOOSE(Project!$D$14,"Ja","Oui","Yes","Ja")</f>
        <v>Ja</v>
      </c>
      <c r="Y164" s="39"/>
    </row>
    <row r="165" spans="21:25" ht="165" customHeight="1" x14ac:dyDescent="0.25">
      <c r="W165" s="44"/>
      <c r="X165" s="43" t="str">
        <f>CHOOSE(Project!$D$14,"Neen","Non","No","Nein")</f>
        <v>Neen</v>
      </c>
      <c r="Y165" s="39"/>
    </row>
    <row r="166" spans="21:25" ht="157.5" customHeight="1" x14ac:dyDescent="0.25">
      <c r="W166" s="45" t="str">
        <f>CHOOSE(Project!$D$14,"Nabijheid van een hoog gebouw","Proximité d' un batiment haut","Proximity of a high building","....")</f>
        <v>Nabijheid van een hoog gebouw</v>
      </c>
      <c r="X166" s="43" t="str">
        <f>CHOOSE(Project!$D$14,"Ja","Oui","Yes","Ja")</f>
        <v>Ja</v>
      </c>
      <c r="Y166" s="13"/>
    </row>
    <row r="167" spans="21:25" ht="14.25" customHeight="1" x14ac:dyDescent="0.25">
      <c r="U167" s="3" t="s">
        <v>28</v>
      </c>
      <c r="V167" s="3" t="s">
        <v>26</v>
      </c>
      <c r="W167" s="46"/>
      <c r="X167" s="41"/>
      <c r="Y167" s="39"/>
    </row>
    <row r="168" spans="21:25" ht="135" customHeight="1" x14ac:dyDescent="0.25">
      <c r="U168" s="47">
        <v>0</v>
      </c>
      <c r="V168" s="47">
        <v>0</v>
      </c>
      <c r="W168" s="40" t="str">
        <f>CHOOSE(Project!$D$14,"Vlak","Plat","Flat;",".....")</f>
        <v>Vlak</v>
      </c>
      <c r="X168" s="47">
        <v>1</v>
      </c>
      <c r="Y168" s="39"/>
    </row>
    <row r="169" spans="21:25" ht="135" customHeight="1" x14ac:dyDescent="0.25">
      <c r="U169" s="42">
        <v>1.3</v>
      </c>
      <c r="V169" s="42">
        <v>2.5</v>
      </c>
      <c r="W169" s="40" t="str">
        <f>CHOOSE(Project!$D$14,"Kliffen en hellingen","Falaises et escarpements","Cliffs",".....")</f>
        <v>Kliffen en hellingen</v>
      </c>
      <c r="X169" s="42">
        <v>2</v>
      </c>
      <c r="Y169" s="39"/>
    </row>
    <row r="170" spans="21:25" ht="135" customHeight="1" x14ac:dyDescent="0.25">
      <c r="U170" s="42">
        <v>1.6</v>
      </c>
      <c r="V170" s="42">
        <v>4</v>
      </c>
      <c r="W170" s="40" t="str">
        <f>CHOOSE(Project!$D$14,"Heuvels en ruggen","Collines et crêtes","Hills and ridges","......")</f>
        <v>Heuvels en ruggen</v>
      </c>
      <c r="X170" s="42">
        <v>3</v>
      </c>
      <c r="Y170" s="39"/>
    </row>
    <row r="171" spans="21:25" ht="135" customHeight="1" x14ac:dyDescent="0.25">
      <c r="U171" s="42">
        <v>2.2000000000000002</v>
      </c>
      <c r="V171" s="42">
        <v>3</v>
      </c>
      <c r="W171" s="40" t="str">
        <f>CHOOSE(Project!$D$14,"Opeenvolgende heuvels","Collines en chaine","Hills","......")</f>
        <v>Opeenvolgende heuvels</v>
      </c>
      <c r="X171" s="42" t="str">
        <f>IF(Project!D8=2,4,"")</f>
        <v/>
      </c>
      <c r="Y171" s="39"/>
    </row>
    <row r="172" spans="21:25" x14ac:dyDescent="0.25">
      <c r="Y172" s="39"/>
    </row>
  </sheetData>
  <sheetProtection algorithmName="SHA-512" hashValue="NHmb6spqZ+uKNIHLkTEM9as+l9yY4M7wI+utycQiJWohNfXX8XF6NRMxoaYl3dRIUz34a52lsTc9WrRVGZ1wFg==" saltValue="Spkjz+mTUz1tnXrM03ChNg==" spinCount="100000" sheet="1" objects="1" scenarios="1" selectLockedCells="1"/>
  <mergeCells count="18">
    <mergeCell ref="B4:C4"/>
    <mergeCell ref="B5:C5"/>
    <mergeCell ref="D4:S4"/>
    <mergeCell ref="D5:S5"/>
    <mergeCell ref="U130:U131"/>
    <mergeCell ref="C83:D83"/>
    <mergeCell ref="E83:F83"/>
    <mergeCell ref="G83:H83"/>
    <mergeCell ref="D45:J47"/>
    <mergeCell ref="I83:J83"/>
    <mergeCell ref="C74:D74"/>
    <mergeCell ref="E74:F74"/>
    <mergeCell ref="G74:H74"/>
    <mergeCell ref="I74:J74"/>
    <mergeCell ref="W130:X131"/>
    <mergeCell ref="W157:W158"/>
    <mergeCell ref="X157:X158"/>
    <mergeCell ref="V130:V131"/>
  </mergeCells>
  <dataValidations count="7">
    <dataValidation type="list" allowBlank="1" showInputMessage="1" showErrorMessage="1" sqref="C54" xr:uid="{00000000-0002-0000-0800-000000000000}">
      <formula1>$X$168:$X$171</formula1>
    </dataValidation>
    <dataValidation type="list" allowBlank="1" showInputMessage="1" showErrorMessage="1" sqref="C45" xr:uid="{00000000-0002-0000-0800-000001000000}">
      <formula1>$X$124:$X$128</formula1>
    </dataValidation>
    <dataValidation type="list" allowBlank="1" showInputMessage="1" showErrorMessage="1" sqref="C33" xr:uid="{00000000-0002-0000-0800-000002000000}">
      <formula1>$X$165:$X$166</formula1>
    </dataValidation>
    <dataValidation type="list" allowBlank="1" showInputMessage="1" showErrorMessage="1" sqref="C27" xr:uid="{00000000-0002-0000-0800-000003000000}">
      <formula1>$X$163:$X$164</formula1>
    </dataValidation>
    <dataValidation type="list" allowBlank="1" showInputMessage="1" showErrorMessage="1" sqref="C17" xr:uid="{00000000-0002-0000-0800-000004000000}">
      <formula1>$X$117:$X$120</formula1>
    </dataValidation>
    <dataValidation type="list" allowBlank="1" showInputMessage="1" showErrorMessage="1" sqref="C23" xr:uid="{00000000-0002-0000-0800-000005000000}">
      <formula1>$X$159:$X$161</formula1>
    </dataValidation>
    <dataValidation type="list" allowBlank="1" showInputMessage="1" showErrorMessage="1" sqref="C8" xr:uid="{00000000-0002-0000-0800-000006000000}">
      <formula1>$X$147:$X$150</formula1>
    </dataValidation>
  </dataValidations>
  <pageMargins left="0.70866141732283472" right="0.70866141732283472" top="0.74803149606299213" bottom="0.74803149606299213" header="0.31496062992125984" footer="0.31496062992125984"/>
  <pageSetup paperSize="9" scale="53" orientation="portrait" r:id="rId1"/>
  <headerFooter>
    <oddFooter>&amp;L&amp;9Static - eurocode version 001&amp;C&amp;9wind calculation&amp;R&amp;9&amp;D   &amp;T</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6">
    <pageSetUpPr fitToPage="1"/>
  </sheetPr>
  <dimension ref="A1:AG139"/>
  <sheetViews>
    <sheetView showGridLines="0" showRowColHeaders="0" zoomScaleNormal="100" workbookViewId="0">
      <selection activeCell="N5" sqref="N5:S5"/>
    </sheetView>
  </sheetViews>
  <sheetFormatPr defaultRowHeight="13.8" x14ac:dyDescent="0.25"/>
  <cols>
    <col min="1" max="1" width="1.59765625" customWidth="1"/>
    <col min="2" max="10" width="8.59765625" customWidth="1"/>
    <col min="11" max="11" width="2.59765625" customWidth="1"/>
    <col min="12" max="19" width="8.59765625" customWidth="1"/>
    <col min="20" max="20" width="2.59765625" customWidth="1"/>
    <col min="21" max="22" width="9" customWidth="1"/>
    <col min="23" max="32" width="9" hidden="1" customWidth="1"/>
    <col min="33" max="33" width="8.796875" hidden="1" customWidth="1"/>
  </cols>
  <sheetData>
    <row r="1" spans="2:23" ht="14.25" customHeight="1" x14ac:dyDescent="0.25"/>
    <row r="2" spans="2:23" ht="14.25" customHeight="1" x14ac:dyDescent="0.25">
      <c r="B2" s="300" t="str">
        <f>CHOOSE(Project!$D$14,"Berekening van het windanker","","")</f>
        <v>Berekening van het windanker</v>
      </c>
      <c r="C2" s="301"/>
      <c r="D2" s="301"/>
      <c r="E2" s="301"/>
      <c r="F2" s="301"/>
      <c r="G2" s="301"/>
      <c r="H2" s="301"/>
      <c r="I2" s="301"/>
      <c r="J2" s="301"/>
      <c r="K2" s="301"/>
      <c r="L2" s="301"/>
      <c r="M2" s="301"/>
      <c r="N2" s="301"/>
      <c r="O2" s="301"/>
      <c r="P2" s="301"/>
      <c r="Q2" s="301"/>
      <c r="R2" s="301"/>
      <c r="S2" s="302"/>
    </row>
    <row r="3" spans="2:23" ht="14.25" customHeight="1" x14ac:dyDescent="0.25">
      <c r="M3" s="182"/>
      <c r="N3" s="182"/>
    </row>
    <row r="4" spans="2:23" ht="14.25" customHeight="1" x14ac:dyDescent="0.25">
      <c r="B4" s="361" t="str">
        <f>CHOOSE(Project!$D$14,"Gevel","Facade","Facade", "Fassade")</f>
        <v>Gevel</v>
      </c>
      <c r="C4" s="362"/>
      <c r="D4" s="363"/>
      <c r="E4" s="364"/>
      <c r="F4" s="364"/>
      <c r="G4" s="364"/>
      <c r="H4" s="364"/>
      <c r="I4" s="364"/>
      <c r="J4" s="364"/>
      <c r="K4" s="365"/>
      <c r="L4" s="366" t="str">
        <f>Project!B4</f>
        <v>Project</v>
      </c>
      <c r="M4" s="367"/>
      <c r="N4" s="368"/>
      <c r="O4" s="369"/>
      <c r="P4" s="369"/>
      <c r="Q4" s="369"/>
      <c r="R4" s="369"/>
      <c r="S4" s="370"/>
    </row>
    <row r="5" spans="2:23" ht="14.25" customHeight="1" x14ac:dyDescent="0.25">
      <c r="B5" s="303" t="str">
        <f>CHOOSE(Project!$D$14,"Bouwdeel","Element du bâtiment","Building part","Bauteil")</f>
        <v>Bouwdeel</v>
      </c>
      <c r="C5" s="304"/>
      <c r="D5" s="357"/>
      <c r="E5" s="288"/>
      <c r="F5" s="288"/>
      <c r="G5" s="288"/>
      <c r="H5" s="288"/>
      <c r="I5" s="288"/>
      <c r="J5" s="288"/>
      <c r="K5" s="289"/>
      <c r="L5" s="345" t="str">
        <f>Project!B5</f>
        <v>Dossiernummer</v>
      </c>
      <c r="M5" s="346"/>
      <c r="N5" s="358"/>
      <c r="O5" s="359"/>
      <c r="P5" s="359"/>
      <c r="Q5" s="359"/>
      <c r="R5" s="359"/>
      <c r="S5" s="360"/>
    </row>
    <row r="6" spans="2:23" ht="14.25" customHeight="1" x14ac:dyDescent="0.25"/>
    <row r="7" spans="2:23" ht="14.25" customHeight="1" x14ac:dyDescent="0.25">
      <c r="B7" s="134" t="s">
        <v>95</v>
      </c>
      <c r="W7" s="119" t="s">
        <v>108</v>
      </c>
    </row>
    <row r="8" spans="2:23" ht="14.25" customHeight="1" x14ac:dyDescent="0.35">
      <c r="B8" s="131" t="s">
        <v>360</v>
      </c>
      <c r="C8" s="272">
        <v>-11313</v>
      </c>
      <c r="D8" s="119" t="s">
        <v>92</v>
      </c>
      <c r="E8" s="119" t="s">
        <v>343</v>
      </c>
      <c r="F8" s="119"/>
      <c r="G8" s="119"/>
      <c r="L8" s="228" t="s">
        <v>249</v>
      </c>
      <c r="M8" s="228" t="s">
        <v>246</v>
      </c>
      <c r="N8" s="228" t="s">
        <v>251</v>
      </c>
      <c r="O8" s="228" t="s">
        <v>198</v>
      </c>
      <c r="R8" s="235" t="s">
        <v>204</v>
      </c>
      <c r="S8" s="236" t="s">
        <v>201</v>
      </c>
      <c r="W8" s="119" t="s">
        <v>110</v>
      </c>
    </row>
    <row r="9" spans="2:23" ht="14.25" customHeight="1" x14ac:dyDescent="0.35">
      <c r="B9" s="131" t="s">
        <v>361</v>
      </c>
      <c r="C9" s="272">
        <v>8924</v>
      </c>
      <c r="D9" s="119" t="s">
        <v>92</v>
      </c>
      <c r="E9" s="119" t="s">
        <v>359</v>
      </c>
      <c r="L9" s="228">
        <v>17.2</v>
      </c>
      <c r="M9" s="228">
        <v>2.2999999999999998</v>
      </c>
      <c r="N9" s="228">
        <f>L9-2*M9</f>
        <v>12.6</v>
      </c>
      <c r="O9" s="228">
        <v>17.5</v>
      </c>
      <c r="R9" s="235" t="s">
        <v>219</v>
      </c>
      <c r="S9" s="237">
        <v>0.85</v>
      </c>
    </row>
    <row r="10" spans="2:23" ht="14.25" customHeight="1" x14ac:dyDescent="0.35">
      <c r="B10" s="220" t="s">
        <v>371</v>
      </c>
      <c r="C10" s="229">
        <f>MAX(ABS(C8/2),ABS(C9/2))</f>
        <v>5656.5</v>
      </c>
      <c r="D10" s="119" t="s">
        <v>92</v>
      </c>
      <c r="E10" s="119" t="s">
        <v>374</v>
      </c>
      <c r="F10" s="119"/>
      <c r="G10" s="119"/>
      <c r="L10" s="228">
        <v>25</v>
      </c>
      <c r="M10" s="228">
        <v>2</v>
      </c>
      <c r="N10" s="228">
        <f>L10-2*M10</f>
        <v>21</v>
      </c>
      <c r="O10" s="228">
        <v>25.5</v>
      </c>
      <c r="R10" s="235" t="s">
        <v>223</v>
      </c>
      <c r="S10" s="237">
        <v>1</v>
      </c>
      <c r="W10" s="119" t="s">
        <v>219</v>
      </c>
    </row>
    <row r="11" spans="2:23" ht="14.25" customHeight="1" x14ac:dyDescent="0.25">
      <c r="L11" s="228">
        <v>26.9</v>
      </c>
      <c r="M11" s="228">
        <v>2</v>
      </c>
      <c r="N11" s="228">
        <f>L11-2*M11</f>
        <v>22.9</v>
      </c>
      <c r="O11" s="228">
        <v>27.5</v>
      </c>
      <c r="R11" s="235" t="s">
        <v>224</v>
      </c>
      <c r="S11" s="237">
        <v>1</v>
      </c>
      <c r="W11" s="119" t="s">
        <v>203</v>
      </c>
    </row>
    <row r="12" spans="2:23" ht="14.25" customHeight="1" x14ac:dyDescent="0.25">
      <c r="B12" s="134" t="s">
        <v>212</v>
      </c>
    </row>
    <row r="13" spans="2:23" ht="17.25" customHeight="1" x14ac:dyDescent="0.25">
      <c r="B13" s="183"/>
      <c r="C13" s="118">
        <v>3</v>
      </c>
      <c r="E13" s="119" t="s">
        <v>206</v>
      </c>
      <c r="H13" s="119"/>
      <c r="W13" s="119" t="s">
        <v>220</v>
      </c>
    </row>
    <row r="14" spans="2:23" ht="17.25" customHeight="1" x14ac:dyDescent="0.25">
      <c r="B14" s="183"/>
      <c r="C14" s="118">
        <v>6</v>
      </c>
      <c r="E14" s="119" t="s">
        <v>205</v>
      </c>
      <c r="F14" s="120"/>
      <c r="L14" s="119" t="s">
        <v>193</v>
      </c>
      <c r="W14" s="119" t="s">
        <v>221</v>
      </c>
    </row>
    <row r="15" spans="2:23" ht="17.25" customHeight="1" x14ac:dyDescent="0.35">
      <c r="C15" s="118">
        <v>2</v>
      </c>
      <c r="E15" s="119" t="s">
        <v>204</v>
      </c>
      <c r="L15" s="164" t="s">
        <v>98</v>
      </c>
      <c r="M15" s="164" t="s">
        <v>99</v>
      </c>
      <c r="N15" s="164" t="s">
        <v>88</v>
      </c>
      <c r="O15" s="164" t="s">
        <v>100</v>
      </c>
      <c r="P15" s="164" t="s">
        <v>101</v>
      </c>
      <c r="Q15" s="164" t="s">
        <v>102</v>
      </c>
      <c r="R15" s="217" t="s">
        <v>103</v>
      </c>
      <c r="S15" s="217" t="s">
        <v>104</v>
      </c>
    </row>
    <row r="16" spans="2:23" ht="14.25" customHeight="1" x14ac:dyDescent="0.35">
      <c r="B16" s="131" t="s">
        <v>147</v>
      </c>
      <c r="C16" s="223">
        <f>INDEX($L$29:$P$44,$C$13,4)</f>
        <v>50.264000000000003</v>
      </c>
      <c r="D16" s="119" t="s">
        <v>211</v>
      </c>
      <c r="E16" s="119" t="s">
        <v>213</v>
      </c>
      <c r="L16" s="164" t="s">
        <v>105</v>
      </c>
      <c r="M16" s="164"/>
      <c r="N16" s="164" t="s">
        <v>106</v>
      </c>
      <c r="O16" s="164" t="s">
        <v>107</v>
      </c>
      <c r="P16" s="164">
        <v>240</v>
      </c>
      <c r="Q16" s="164">
        <v>400</v>
      </c>
      <c r="R16" s="164">
        <v>0.6</v>
      </c>
      <c r="S16" s="164">
        <v>0.6</v>
      </c>
      <c r="W16" s="119" t="s">
        <v>218</v>
      </c>
    </row>
    <row r="17" spans="2:33" ht="14.25" customHeight="1" x14ac:dyDescent="0.35">
      <c r="B17" s="131" t="s">
        <v>146</v>
      </c>
      <c r="C17" s="223">
        <f>INDEX($L$29:$P$44,$C$13,3)</f>
        <v>36.604702238374998</v>
      </c>
      <c r="D17" s="119" t="s">
        <v>211</v>
      </c>
      <c r="E17" s="119" t="s">
        <v>214</v>
      </c>
      <c r="L17" s="164" t="s">
        <v>105</v>
      </c>
      <c r="M17" s="164"/>
      <c r="N17" s="164" t="s">
        <v>109</v>
      </c>
      <c r="O17" s="164" t="s">
        <v>107</v>
      </c>
      <c r="P17" s="164">
        <v>300</v>
      </c>
      <c r="Q17" s="164">
        <v>500</v>
      </c>
      <c r="R17" s="164">
        <v>0.6</v>
      </c>
      <c r="S17" s="164">
        <v>0.6</v>
      </c>
      <c r="W17" s="119" t="s">
        <v>126</v>
      </c>
    </row>
    <row r="18" spans="2:33" ht="14.25" customHeight="1" x14ac:dyDescent="0.35">
      <c r="B18" s="131" t="s">
        <v>199</v>
      </c>
      <c r="C18" s="219">
        <v>10</v>
      </c>
      <c r="D18" s="119" t="s">
        <v>52</v>
      </c>
      <c r="E18" s="119" t="s">
        <v>215</v>
      </c>
      <c r="L18" s="164" t="s">
        <v>105</v>
      </c>
      <c r="M18" s="164"/>
      <c r="N18" s="164" t="s">
        <v>111</v>
      </c>
      <c r="O18" s="164" t="s">
        <v>107</v>
      </c>
      <c r="P18" s="164">
        <v>480</v>
      </c>
      <c r="Q18" s="164">
        <v>600</v>
      </c>
      <c r="R18" s="164">
        <v>0.5</v>
      </c>
      <c r="S18" s="164">
        <v>0.6</v>
      </c>
    </row>
    <row r="19" spans="2:33" ht="14.25" customHeight="1" x14ac:dyDescent="0.35">
      <c r="B19" s="131" t="s">
        <v>198</v>
      </c>
      <c r="C19" s="219">
        <v>10</v>
      </c>
      <c r="D19" s="119" t="s">
        <v>52</v>
      </c>
      <c r="E19" s="119" t="s">
        <v>216</v>
      </c>
      <c r="L19" s="164" t="s">
        <v>105</v>
      </c>
      <c r="M19" s="164"/>
      <c r="N19" s="164" t="s">
        <v>113</v>
      </c>
      <c r="O19" s="164" t="s">
        <v>107</v>
      </c>
      <c r="P19" s="164">
        <v>640</v>
      </c>
      <c r="Q19" s="164">
        <v>800</v>
      </c>
      <c r="R19" s="164">
        <v>0.6</v>
      </c>
      <c r="S19" s="164">
        <v>0.6</v>
      </c>
      <c r="W19" s="115" t="str">
        <f>CHOOSE(Project!$D$14,"Rekenwaarde karakteristieke weerstand materialen","valeur de calcul résistance caractéristique des matériaux","")</f>
        <v>Rekenwaarde karakteristieke weerstand materialen</v>
      </c>
      <c r="X19" s="111"/>
      <c r="Y19" s="111"/>
      <c r="Z19" s="111"/>
      <c r="AA19" s="116"/>
      <c r="AB19" s="112" t="s">
        <v>53</v>
      </c>
      <c r="AD19" s="2" t="s">
        <v>48</v>
      </c>
      <c r="AE19" s="108"/>
      <c r="AF19" s="230" t="s">
        <v>217</v>
      </c>
    </row>
    <row r="20" spans="2:33" ht="14.25" customHeight="1" x14ac:dyDescent="0.35">
      <c r="H20" s="120"/>
      <c r="L20" s="164" t="s">
        <v>105</v>
      </c>
      <c r="M20" s="164"/>
      <c r="N20" s="164" t="s">
        <v>116</v>
      </c>
      <c r="O20" s="164" t="s">
        <v>107</v>
      </c>
      <c r="P20" s="164">
        <v>900</v>
      </c>
      <c r="Q20" s="164">
        <v>1000</v>
      </c>
      <c r="R20" s="164">
        <v>0.5</v>
      </c>
      <c r="S20" s="164">
        <v>0.6</v>
      </c>
      <c r="W20" s="249" t="s">
        <v>233</v>
      </c>
      <c r="X20" s="98"/>
      <c r="Y20" s="98"/>
      <c r="Z20" s="98"/>
      <c r="AA20" s="98"/>
      <c r="AB20" s="109">
        <f>Project!J28</f>
        <v>136.36363636363635</v>
      </c>
      <c r="AC20" s="109" t="s">
        <v>19</v>
      </c>
      <c r="AD20" s="114">
        <v>70000</v>
      </c>
      <c r="AE20" s="109" t="s">
        <v>19</v>
      </c>
      <c r="AF20" s="119">
        <v>195</v>
      </c>
      <c r="AG20" s="109" t="s">
        <v>19</v>
      </c>
    </row>
    <row r="21" spans="2:33" ht="14.25" customHeight="1" x14ac:dyDescent="0.35">
      <c r="B21" s="134" t="s">
        <v>141</v>
      </c>
      <c r="L21" s="164" t="s">
        <v>118</v>
      </c>
      <c r="M21" s="164" t="s">
        <v>119</v>
      </c>
      <c r="N21" s="164">
        <v>50</v>
      </c>
      <c r="O21" s="164" t="s">
        <v>107</v>
      </c>
      <c r="P21" s="164">
        <v>210</v>
      </c>
      <c r="Q21" s="164">
        <v>500</v>
      </c>
      <c r="R21" s="164">
        <v>0.5</v>
      </c>
      <c r="S21" s="164">
        <v>0.6</v>
      </c>
      <c r="W21" s="249" t="s">
        <v>234</v>
      </c>
      <c r="X21" s="98"/>
      <c r="Y21" s="98"/>
      <c r="Z21" s="98"/>
      <c r="AA21" s="98"/>
      <c r="AB21" s="109">
        <f>Project!J29</f>
        <v>145.45454545454544</v>
      </c>
      <c r="AC21" s="109" t="s">
        <v>19</v>
      </c>
      <c r="AD21" s="114">
        <v>70000</v>
      </c>
      <c r="AE21" s="109" t="s">
        <v>19</v>
      </c>
      <c r="AF21" s="119">
        <v>215</v>
      </c>
      <c r="AG21" s="109" t="s">
        <v>19</v>
      </c>
    </row>
    <row r="22" spans="2:33" ht="17.25" customHeight="1" x14ac:dyDescent="0.35">
      <c r="C22" s="118">
        <v>1</v>
      </c>
      <c r="D22" s="119"/>
      <c r="E22" s="119" t="s">
        <v>208</v>
      </c>
      <c r="L22" s="164" t="s">
        <v>118</v>
      </c>
      <c r="M22" s="164" t="s">
        <v>119</v>
      </c>
      <c r="N22" s="164">
        <v>70</v>
      </c>
      <c r="O22" s="164" t="s">
        <v>107</v>
      </c>
      <c r="P22" s="164">
        <v>450</v>
      </c>
      <c r="Q22" s="164">
        <v>700</v>
      </c>
      <c r="R22" s="164">
        <v>0.5</v>
      </c>
      <c r="S22" s="164">
        <v>0.6</v>
      </c>
      <c r="W22" s="249" t="s">
        <v>238</v>
      </c>
      <c r="X22" s="98"/>
      <c r="Y22" s="98"/>
      <c r="Z22" s="98"/>
      <c r="AA22" s="98"/>
      <c r="AB22" s="109">
        <f>Project!J30</f>
        <v>163.63636363636363</v>
      </c>
      <c r="AC22" s="109" t="s">
        <v>19</v>
      </c>
      <c r="AD22" s="114">
        <v>70000</v>
      </c>
      <c r="AE22" s="109" t="s">
        <v>19</v>
      </c>
      <c r="AF22" s="119">
        <v>225</v>
      </c>
      <c r="AG22" s="109" t="s">
        <v>19</v>
      </c>
    </row>
    <row r="23" spans="2:33" ht="14.25" customHeight="1" x14ac:dyDescent="0.35">
      <c r="B23" s="226" t="s">
        <v>367</v>
      </c>
      <c r="C23" s="172">
        <f>IF(C22=1,IF(OR(C14=3,C14=5,C14=6,C14=7,C14=8),0.5,0.6),0.6)</f>
        <v>0.5</v>
      </c>
      <c r="D23" s="119"/>
      <c r="L23" s="164" t="s">
        <v>118</v>
      </c>
      <c r="M23" s="164" t="s">
        <v>119</v>
      </c>
      <c r="N23" s="164">
        <v>80</v>
      </c>
      <c r="O23" s="164" t="s">
        <v>107</v>
      </c>
      <c r="P23" s="164">
        <v>600</v>
      </c>
      <c r="Q23" s="164">
        <v>800</v>
      </c>
      <c r="R23" s="164">
        <v>0.5</v>
      </c>
      <c r="S23" s="164">
        <v>0.6</v>
      </c>
      <c r="W23" s="249" t="s">
        <v>235</v>
      </c>
      <c r="X23" s="98"/>
      <c r="Y23" s="98"/>
      <c r="Z23" s="98"/>
      <c r="AA23" s="98"/>
      <c r="AB23" s="109">
        <f>Project!J31</f>
        <v>181.81818181818181</v>
      </c>
      <c r="AC23" s="109" t="s">
        <v>19</v>
      </c>
      <c r="AD23" s="114">
        <v>70000</v>
      </c>
      <c r="AE23" s="109" t="s">
        <v>19</v>
      </c>
      <c r="AF23" s="119">
        <v>245</v>
      </c>
      <c r="AG23" s="109" t="s">
        <v>19</v>
      </c>
    </row>
    <row r="24" spans="2:33" ht="14.25" customHeight="1" x14ac:dyDescent="0.35">
      <c r="B24" s="226" t="s">
        <v>133</v>
      </c>
      <c r="C24" s="167">
        <f>INDEX($N$16:$S$23,$C$14,4)</f>
        <v>500</v>
      </c>
      <c r="D24" s="119" t="s">
        <v>51</v>
      </c>
      <c r="E24" s="119" t="s">
        <v>134</v>
      </c>
      <c r="F24" s="119"/>
      <c r="L24" s="218" t="s">
        <v>194</v>
      </c>
      <c r="W24" s="249" t="s">
        <v>236</v>
      </c>
      <c r="X24" s="111"/>
      <c r="Y24" s="111"/>
      <c r="Z24" s="111"/>
      <c r="AA24" s="111"/>
      <c r="AB24" s="109">
        <f>Project!J32</f>
        <v>235</v>
      </c>
      <c r="AC24" s="109" t="s">
        <v>19</v>
      </c>
      <c r="AD24" s="114">
        <v>210000</v>
      </c>
      <c r="AE24" s="109" t="s">
        <v>19</v>
      </c>
      <c r="AF24" s="119">
        <v>360</v>
      </c>
      <c r="AG24" s="109" t="s">
        <v>19</v>
      </c>
    </row>
    <row r="25" spans="2:33" ht="14.25" customHeight="1" x14ac:dyDescent="0.35">
      <c r="B25" s="226" t="s">
        <v>368</v>
      </c>
      <c r="C25" s="170">
        <f>IF(AND(C15=1,C22=1),0.85,1)</f>
        <v>1</v>
      </c>
      <c r="D25" s="119"/>
      <c r="E25" s="119" t="s">
        <v>210</v>
      </c>
      <c r="W25" s="249" t="s">
        <v>237</v>
      </c>
      <c r="X25" s="111"/>
      <c r="Y25" s="111"/>
      <c r="Z25" s="111"/>
      <c r="AA25" s="111"/>
      <c r="AB25" s="109">
        <f>Project!J33</f>
        <v>355</v>
      </c>
      <c r="AC25" s="109" t="s">
        <v>19</v>
      </c>
      <c r="AD25" s="114">
        <v>210000</v>
      </c>
      <c r="AE25" s="109" t="s">
        <v>19</v>
      </c>
      <c r="AF25" s="119">
        <v>510</v>
      </c>
      <c r="AG25" s="109" t="s">
        <v>19</v>
      </c>
    </row>
    <row r="26" spans="2:33" ht="14.25" customHeight="1" x14ac:dyDescent="0.35">
      <c r="B26" s="226" t="s">
        <v>24</v>
      </c>
      <c r="C26" s="174">
        <f>IF(C22=1,INDEX($L$29:$P$44,$C$13,3),INDEX($L$29:$P$44,$C$13,4))</f>
        <v>36.604702238374998</v>
      </c>
      <c r="D26" s="119" t="s">
        <v>211</v>
      </c>
      <c r="E26" s="119" t="s">
        <v>209</v>
      </c>
      <c r="F26" s="119"/>
      <c r="W26" s="250" t="s">
        <v>49</v>
      </c>
      <c r="X26" s="108"/>
      <c r="Y26" s="108"/>
      <c r="Z26" s="108"/>
      <c r="AA26" s="108"/>
      <c r="AB26" s="109">
        <f>Project!J34</f>
        <v>230</v>
      </c>
      <c r="AC26" s="109" t="s">
        <v>19</v>
      </c>
      <c r="AD26" s="114">
        <v>210000</v>
      </c>
      <c r="AE26" s="109" t="s">
        <v>19</v>
      </c>
      <c r="AF26" s="119">
        <v>540</v>
      </c>
      <c r="AG26" s="109" t="s">
        <v>19</v>
      </c>
    </row>
    <row r="27" spans="2:33" ht="14.25" customHeight="1" x14ac:dyDescent="0.35">
      <c r="B27" s="122" t="s">
        <v>366</v>
      </c>
      <c r="C27" s="172">
        <v>1.25</v>
      </c>
      <c r="D27" s="119"/>
      <c r="E27" s="119" t="s">
        <v>145</v>
      </c>
      <c r="F27" s="119"/>
      <c r="L27" s="228" t="s">
        <v>245</v>
      </c>
      <c r="M27" s="236" t="s">
        <v>244</v>
      </c>
      <c r="N27" s="228" t="s">
        <v>243</v>
      </c>
      <c r="O27" s="236" t="s">
        <v>110</v>
      </c>
      <c r="P27" s="228" t="s">
        <v>242</v>
      </c>
      <c r="Q27" s="228" t="s">
        <v>241</v>
      </c>
      <c r="R27" s="228" t="s">
        <v>240</v>
      </c>
      <c r="W27" s="250" t="s">
        <v>50</v>
      </c>
      <c r="X27" s="108"/>
      <c r="Y27" s="108"/>
      <c r="Z27" s="108"/>
      <c r="AA27" s="108"/>
      <c r="AB27" s="109">
        <f>Project!J35</f>
        <v>210</v>
      </c>
      <c r="AC27" s="109" t="s">
        <v>19</v>
      </c>
      <c r="AD27" s="114">
        <v>210000</v>
      </c>
      <c r="AE27" s="109" t="s">
        <v>19</v>
      </c>
      <c r="AF27" s="119">
        <v>520</v>
      </c>
      <c r="AG27" s="109" t="s">
        <v>19</v>
      </c>
    </row>
    <row r="28" spans="2:33" ht="14.25" customHeight="1" x14ac:dyDescent="0.35">
      <c r="B28" s="131" t="s">
        <v>142</v>
      </c>
      <c r="C28" s="229">
        <f>C23*C24*C25*C26/C27</f>
        <v>7320.9404476750005</v>
      </c>
      <c r="D28" s="119" t="s">
        <v>92</v>
      </c>
      <c r="E28" s="119" t="s">
        <v>369</v>
      </c>
      <c r="F28" s="119"/>
      <c r="L28" s="228" t="s">
        <v>97</v>
      </c>
      <c r="M28" s="228" t="s">
        <v>31</v>
      </c>
      <c r="N28" s="228" t="s">
        <v>146</v>
      </c>
      <c r="O28" s="228" t="s">
        <v>147</v>
      </c>
      <c r="P28" s="228" t="s">
        <v>123</v>
      </c>
      <c r="Q28" s="228" t="s">
        <v>226</v>
      </c>
      <c r="R28" s="228" t="s">
        <v>239</v>
      </c>
      <c r="W28" s="113" t="s">
        <v>89</v>
      </c>
      <c r="AB28" s="109">
        <v>0</v>
      </c>
      <c r="AC28" s="109" t="s">
        <v>19</v>
      </c>
      <c r="AD28" s="114">
        <v>0</v>
      </c>
      <c r="AE28" s="109" t="s">
        <v>19</v>
      </c>
      <c r="AF28" s="119">
        <v>0</v>
      </c>
      <c r="AG28" s="109" t="s">
        <v>19</v>
      </c>
    </row>
    <row r="29" spans="2:33" ht="14.25" customHeight="1" x14ac:dyDescent="0.25">
      <c r="C29" s="238">
        <f>C10/C28</f>
        <v>0.77264663473617012</v>
      </c>
      <c r="E29" s="119" t="s">
        <v>281</v>
      </c>
      <c r="L29" s="228" t="s">
        <v>149</v>
      </c>
      <c r="M29" s="228">
        <v>5</v>
      </c>
      <c r="N29" s="254">
        <f t="shared" ref="N29:N44" si="0">((Q29+R29)/2)^2/4*3.1415</f>
        <v>14.182498290093754</v>
      </c>
      <c r="O29" s="234">
        <f>M29^2/4*3.1415</f>
        <v>19.634375000000002</v>
      </c>
      <c r="P29" s="253">
        <f>M29+0.5</f>
        <v>5.5</v>
      </c>
      <c r="Q29" s="271">
        <v>4.4800000000000004</v>
      </c>
      <c r="R29" s="271">
        <v>4.0190000000000001</v>
      </c>
    </row>
    <row r="30" spans="2:33" ht="14.25" customHeight="1" x14ac:dyDescent="0.35">
      <c r="C30" s="222" t="str">
        <f>IF(C28&gt;C10,"O.K.","NOT OK")</f>
        <v>O.K.</v>
      </c>
      <c r="E30" s="258" t="s">
        <v>372</v>
      </c>
      <c r="L30" s="228" t="s">
        <v>150</v>
      </c>
      <c r="M30" s="228">
        <v>6</v>
      </c>
      <c r="N30" s="254">
        <f t="shared" si="0"/>
        <v>20.120351109593749</v>
      </c>
      <c r="O30" s="234">
        <f t="shared" ref="O30:O44" si="1">M30^2/4*3.1415</f>
        <v>28.273500000000002</v>
      </c>
      <c r="P30" s="253">
        <f t="shared" ref="P30:P40" si="2">M30+0.5</f>
        <v>6.5</v>
      </c>
      <c r="Q30" s="271">
        <v>5.35</v>
      </c>
      <c r="R30" s="271">
        <v>4.7729999999999997</v>
      </c>
    </row>
    <row r="31" spans="2:33" ht="14.25" customHeight="1" x14ac:dyDescent="0.25">
      <c r="L31" s="228" t="s">
        <v>151</v>
      </c>
      <c r="M31" s="228">
        <v>8</v>
      </c>
      <c r="N31" s="254">
        <f t="shared" si="0"/>
        <v>36.604702238374998</v>
      </c>
      <c r="O31" s="234">
        <f t="shared" si="1"/>
        <v>50.264000000000003</v>
      </c>
      <c r="P31" s="253">
        <f t="shared" si="2"/>
        <v>8.5</v>
      </c>
      <c r="Q31" s="271">
        <v>7.1879999999999997</v>
      </c>
      <c r="R31" s="271">
        <v>6.4660000000000002</v>
      </c>
    </row>
    <row r="32" spans="2:33" ht="14.25" customHeight="1" x14ac:dyDescent="0.25">
      <c r="B32" s="134" t="s">
        <v>112</v>
      </c>
      <c r="L32" s="228" t="s">
        <v>152</v>
      </c>
      <c r="M32" s="228">
        <v>10</v>
      </c>
      <c r="N32" s="254">
        <f t="shared" si="0"/>
        <v>57.991814333374997</v>
      </c>
      <c r="O32" s="234">
        <f t="shared" si="1"/>
        <v>78.537500000000009</v>
      </c>
      <c r="P32" s="253">
        <f t="shared" si="2"/>
        <v>10.5</v>
      </c>
      <c r="Q32" s="271">
        <v>9.0259999999999998</v>
      </c>
      <c r="R32" s="271">
        <v>8.16</v>
      </c>
    </row>
    <row r="33" spans="2:18" ht="17.25" customHeight="1" x14ac:dyDescent="0.25">
      <c r="B33" s="183" t="s">
        <v>222</v>
      </c>
      <c r="C33" s="118">
        <v>2</v>
      </c>
      <c r="L33" s="228" t="s">
        <v>153</v>
      </c>
      <c r="M33" s="228">
        <v>12</v>
      </c>
      <c r="N33" s="254">
        <f t="shared" si="0"/>
        <v>84.261441801500013</v>
      </c>
      <c r="O33" s="234">
        <f t="shared" si="1"/>
        <v>113.09400000000001</v>
      </c>
      <c r="P33" s="253">
        <f t="shared" si="2"/>
        <v>12.5</v>
      </c>
      <c r="Q33" s="271">
        <v>10.863</v>
      </c>
      <c r="R33" s="271">
        <v>9.8529999999999998</v>
      </c>
    </row>
    <row r="34" spans="2:18" ht="17.25" customHeight="1" x14ac:dyDescent="0.25">
      <c r="C34" s="118">
        <v>1</v>
      </c>
      <c r="D34" s="119"/>
      <c r="E34" s="224" t="s">
        <v>207</v>
      </c>
      <c r="L34" s="228" t="s">
        <v>154</v>
      </c>
      <c r="M34" s="228">
        <v>14</v>
      </c>
      <c r="N34" s="254">
        <f t="shared" si="0"/>
        <v>115.43383023584376</v>
      </c>
      <c r="O34" s="234">
        <f t="shared" si="1"/>
        <v>153.93350000000001</v>
      </c>
      <c r="P34" s="253">
        <f t="shared" si="2"/>
        <v>14.5</v>
      </c>
      <c r="Q34" s="271">
        <v>12.701000000000001</v>
      </c>
      <c r="R34" s="271">
        <f>11.546</f>
        <v>11.545999999999999</v>
      </c>
    </row>
    <row r="35" spans="2:18" ht="14.25" customHeight="1" x14ac:dyDescent="0.35">
      <c r="B35" s="226" t="s">
        <v>59</v>
      </c>
      <c r="C35" s="172">
        <f>MIN(2.8*C47/C37-1.7,2.5)</f>
        <v>2.5</v>
      </c>
      <c r="D35" s="119"/>
      <c r="E35" s="119" t="s">
        <v>117</v>
      </c>
      <c r="F35" s="119"/>
      <c r="L35" s="228" t="s">
        <v>155</v>
      </c>
      <c r="M35" s="228">
        <v>16</v>
      </c>
      <c r="N35" s="254">
        <f t="shared" si="0"/>
        <v>156.66130548584377</v>
      </c>
      <c r="O35" s="234">
        <f t="shared" si="1"/>
        <v>201.05600000000001</v>
      </c>
      <c r="P35" s="253">
        <f t="shared" si="2"/>
        <v>16.5</v>
      </c>
      <c r="Q35" s="271">
        <v>14.701000000000001</v>
      </c>
      <c r="R35" s="271">
        <v>13.545999999999999</v>
      </c>
    </row>
    <row r="36" spans="2:18" ht="17.25" customHeight="1" x14ac:dyDescent="0.35">
      <c r="B36" s="226" t="s">
        <v>292</v>
      </c>
      <c r="C36" s="172">
        <f>IF(C34=1,C18,INDEX($L$29:$P$44,$C$13,2))</f>
        <v>10</v>
      </c>
      <c r="D36" s="119" t="s">
        <v>52</v>
      </c>
      <c r="E36" s="119" t="s">
        <v>195</v>
      </c>
      <c r="F36" s="119"/>
      <c r="L36" s="228" t="s">
        <v>156</v>
      </c>
      <c r="M36" s="228">
        <v>18</v>
      </c>
      <c r="N36" s="254">
        <f t="shared" si="0"/>
        <v>192.46664441009378</v>
      </c>
      <c r="O36" s="234">
        <f t="shared" si="1"/>
        <v>254.4615</v>
      </c>
      <c r="P36" s="253">
        <f t="shared" si="2"/>
        <v>18.5</v>
      </c>
      <c r="Q36" s="271">
        <v>16.376000000000001</v>
      </c>
      <c r="R36" s="271">
        <v>14.933</v>
      </c>
    </row>
    <row r="37" spans="2:18" ht="17.25" customHeight="1" x14ac:dyDescent="0.35">
      <c r="B37" s="226" t="s">
        <v>293</v>
      </c>
      <c r="C37" s="222">
        <f>IF(C34=1,C19,INDEX($L$29:$P$44,$C$13,5))</f>
        <v>10</v>
      </c>
      <c r="D37" s="119" t="s">
        <v>52</v>
      </c>
      <c r="E37" s="119" t="s">
        <v>416</v>
      </c>
      <c r="F37" s="119"/>
      <c r="L37" s="228" t="s">
        <v>157</v>
      </c>
      <c r="M37" s="228">
        <v>20</v>
      </c>
      <c r="N37" s="254">
        <f t="shared" si="0"/>
        <v>244.78675616009372</v>
      </c>
      <c r="O37" s="234">
        <f t="shared" si="1"/>
        <v>314.15000000000003</v>
      </c>
      <c r="P37" s="253">
        <f t="shared" si="2"/>
        <v>20.5</v>
      </c>
      <c r="Q37" s="271">
        <v>18.376000000000001</v>
      </c>
      <c r="R37" s="271">
        <v>16.933</v>
      </c>
    </row>
    <row r="38" spans="2:18" ht="17.25" customHeight="1" x14ac:dyDescent="0.25">
      <c r="C38" s="283"/>
      <c r="L38" s="228" t="s">
        <v>158</v>
      </c>
      <c r="M38" s="228">
        <v>22</v>
      </c>
      <c r="N38" s="254">
        <f t="shared" si="0"/>
        <v>303.3898679100937</v>
      </c>
      <c r="O38" s="234">
        <f t="shared" si="1"/>
        <v>380.12150000000003</v>
      </c>
      <c r="P38" s="253">
        <f t="shared" si="2"/>
        <v>22.5</v>
      </c>
      <c r="Q38" s="271">
        <v>20.376000000000001</v>
      </c>
      <c r="R38" s="271">
        <v>18.933</v>
      </c>
    </row>
    <row r="39" spans="2:18" ht="14.25" customHeight="1" x14ac:dyDescent="0.35">
      <c r="B39" s="131" t="s">
        <v>124</v>
      </c>
      <c r="C39" s="175">
        <v>4</v>
      </c>
      <c r="D39" s="119" t="s">
        <v>52</v>
      </c>
      <c r="E39" s="119" t="s">
        <v>250</v>
      </c>
      <c r="F39" s="119"/>
      <c r="L39" s="228" t="s">
        <v>159</v>
      </c>
      <c r="M39" s="228">
        <v>24</v>
      </c>
      <c r="N39" s="254">
        <f t="shared" si="0"/>
        <v>352.47961820937502</v>
      </c>
      <c r="O39" s="234">
        <f t="shared" si="1"/>
        <v>452.37600000000003</v>
      </c>
      <c r="P39" s="253">
        <f t="shared" si="2"/>
        <v>24.5</v>
      </c>
      <c r="Q39" s="271">
        <v>22.050999999999998</v>
      </c>
      <c r="R39" s="271">
        <v>20.318999999999999</v>
      </c>
    </row>
    <row r="40" spans="2:18" ht="14.25" customHeight="1" x14ac:dyDescent="0.35">
      <c r="B40" s="226" t="s">
        <v>127</v>
      </c>
      <c r="C40" s="225">
        <f>MIN(C46/3/C36,1,C43/C42)</f>
        <v>1</v>
      </c>
      <c r="D40" s="119"/>
      <c r="E40" s="119" t="s">
        <v>128</v>
      </c>
      <c r="F40" s="119"/>
      <c r="G40" s="119"/>
      <c r="L40" s="228" t="s">
        <v>160</v>
      </c>
      <c r="M40" s="228">
        <v>27</v>
      </c>
      <c r="N40" s="254">
        <f t="shared" si="0"/>
        <v>459.37700945937502</v>
      </c>
      <c r="O40" s="234">
        <f t="shared" si="1"/>
        <v>572.53837500000009</v>
      </c>
      <c r="P40" s="253">
        <f t="shared" si="2"/>
        <v>27.5</v>
      </c>
      <c r="Q40" s="271">
        <v>25.050999999999998</v>
      </c>
      <c r="R40" s="271">
        <v>23.318999999999999</v>
      </c>
    </row>
    <row r="41" spans="2:18" ht="14.25" customHeight="1" x14ac:dyDescent="0.35">
      <c r="B41" s="122" t="s">
        <v>366</v>
      </c>
      <c r="C41" s="172">
        <v>1.25</v>
      </c>
      <c r="D41" s="119"/>
      <c r="E41" s="119" t="s">
        <v>130</v>
      </c>
      <c r="F41" s="119"/>
      <c r="L41" s="228" t="s">
        <v>161</v>
      </c>
      <c r="M41" s="228">
        <v>30</v>
      </c>
      <c r="N41" s="254">
        <f t="shared" si="0"/>
        <v>560.57819148084377</v>
      </c>
      <c r="O41" s="234">
        <f t="shared" si="1"/>
        <v>706.83750000000009</v>
      </c>
      <c r="P41" s="253">
        <f>M41+1</f>
        <v>31</v>
      </c>
      <c r="Q41" s="271">
        <v>27.727</v>
      </c>
      <c r="R41" s="271">
        <v>25.706</v>
      </c>
    </row>
    <row r="42" spans="2:18" ht="14.25" customHeight="1" x14ac:dyDescent="0.35">
      <c r="B42" s="230" t="s">
        <v>285</v>
      </c>
      <c r="C42" s="232">
        <f>INDEX($W$20:$AF$27,$C$33,10)</f>
        <v>215</v>
      </c>
      <c r="D42" s="120" t="s">
        <v>51</v>
      </c>
      <c r="E42" s="119" t="s">
        <v>132</v>
      </c>
      <c r="F42" s="119"/>
      <c r="L42" s="228" t="s">
        <v>162</v>
      </c>
      <c r="M42" s="228">
        <v>33</v>
      </c>
      <c r="N42" s="254">
        <f t="shared" si="0"/>
        <v>693.54139360584384</v>
      </c>
      <c r="O42" s="234">
        <f t="shared" si="1"/>
        <v>855.2733750000001</v>
      </c>
      <c r="P42" s="253">
        <f>M42+1</f>
        <v>34</v>
      </c>
      <c r="Q42" s="271">
        <v>30.727</v>
      </c>
      <c r="R42" s="271">
        <v>28.706</v>
      </c>
    </row>
    <row r="43" spans="2:18" ht="14.25" customHeight="1" x14ac:dyDescent="0.35">
      <c r="B43" s="226" t="s">
        <v>133</v>
      </c>
      <c r="C43" s="172">
        <f>INDEX($N$16:$S$23,$C$14,4)</f>
        <v>500</v>
      </c>
      <c r="D43" s="119" t="s">
        <v>51</v>
      </c>
      <c r="E43" s="119" t="s">
        <v>134</v>
      </c>
      <c r="F43" s="119"/>
      <c r="L43" s="228" t="s">
        <v>163</v>
      </c>
      <c r="M43" s="228">
        <v>36</v>
      </c>
      <c r="N43" s="254">
        <f t="shared" si="0"/>
        <v>816.71244912734392</v>
      </c>
      <c r="O43" s="234">
        <f t="shared" si="1"/>
        <v>1017.846</v>
      </c>
      <c r="P43" s="253">
        <f>M43+1</f>
        <v>37</v>
      </c>
      <c r="Q43" s="271">
        <v>33.402000000000001</v>
      </c>
      <c r="R43" s="271">
        <v>31.093</v>
      </c>
    </row>
    <row r="44" spans="2:18" ht="14.25" customHeight="1" x14ac:dyDescent="0.35">
      <c r="B44" s="226" t="s">
        <v>252</v>
      </c>
      <c r="C44" s="227">
        <f>C37*2</f>
        <v>20</v>
      </c>
      <c r="D44" s="119" t="s">
        <v>52</v>
      </c>
      <c r="E44" s="119" t="s">
        <v>197</v>
      </c>
      <c r="F44" s="119"/>
      <c r="L44" s="228" t="s">
        <v>164</v>
      </c>
      <c r="M44" s="228">
        <v>39</v>
      </c>
      <c r="N44" s="254">
        <f t="shared" si="0"/>
        <v>975.73910600234387</v>
      </c>
      <c r="O44" s="234">
        <f t="shared" si="1"/>
        <v>1194.5553750000001</v>
      </c>
      <c r="P44" s="253">
        <f>M44+1</f>
        <v>40</v>
      </c>
      <c r="Q44" s="271">
        <v>36.402000000000001</v>
      </c>
      <c r="R44" s="271">
        <v>34.093000000000004</v>
      </c>
    </row>
    <row r="45" spans="2:18" ht="14.25" customHeight="1" x14ac:dyDescent="0.35">
      <c r="B45" s="226" t="s">
        <v>253</v>
      </c>
      <c r="C45" s="227">
        <f>1.5*C37</f>
        <v>15</v>
      </c>
      <c r="D45" s="119" t="s">
        <v>52</v>
      </c>
      <c r="E45" s="119" t="s">
        <v>196</v>
      </c>
      <c r="F45" s="119"/>
      <c r="L45" s="188" t="s">
        <v>247</v>
      </c>
    </row>
    <row r="46" spans="2:18" ht="14.25" customHeight="1" x14ac:dyDescent="0.35">
      <c r="B46" s="226" t="s">
        <v>288</v>
      </c>
      <c r="C46" s="280">
        <v>40</v>
      </c>
      <c r="D46" s="119" t="s">
        <v>52</v>
      </c>
      <c r="E46" s="119" t="s">
        <v>254</v>
      </c>
      <c r="F46" s="119"/>
      <c r="L46" s="188" t="s">
        <v>248</v>
      </c>
      <c r="M46" s="252"/>
    </row>
    <row r="47" spans="2:18" ht="14.25" customHeight="1" x14ac:dyDescent="0.35">
      <c r="B47" s="226" t="s">
        <v>289</v>
      </c>
      <c r="C47" s="280">
        <v>100</v>
      </c>
      <c r="D47" s="119" t="s">
        <v>52</v>
      </c>
      <c r="E47" s="119" t="s">
        <v>255</v>
      </c>
      <c r="F47" s="119"/>
      <c r="L47" s="188"/>
      <c r="M47" s="252"/>
    </row>
    <row r="48" spans="2:18" ht="14.25" customHeight="1" x14ac:dyDescent="0.35">
      <c r="B48" s="131" t="s">
        <v>114</v>
      </c>
      <c r="C48" s="229">
        <f>C35*C40*C42*C36*C39/C41</f>
        <v>17200</v>
      </c>
      <c r="D48" s="119" t="s">
        <v>92</v>
      </c>
      <c r="E48" s="119" t="s">
        <v>314</v>
      </c>
      <c r="L48" s="188"/>
      <c r="M48" s="252"/>
    </row>
    <row r="49" spans="2:14" ht="14.25" customHeight="1" x14ac:dyDescent="0.25">
      <c r="C49" s="238">
        <f>C10/C48</f>
        <v>0.32886627906976745</v>
      </c>
      <c r="E49" s="119" t="s">
        <v>257</v>
      </c>
      <c r="N49" s="172"/>
    </row>
    <row r="50" spans="2:14" ht="14.25" customHeight="1" x14ac:dyDescent="0.35">
      <c r="C50" s="231" t="str">
        <f>IF(C48&gt;C10,"O.K.","NOT OK")</f>
        <v>O.K.</v>
      </c>
      <c r="E50" s="258" t="s">
        <v>373</v>
      </c>
      <c r="N50" s="225"/>
    </row>
    <row r="51" spans="2:14" ht="14.25" customHeight="1" x14ac:dyDescent="0.25">
      <c r="N51" s="225"/>
    </row>
    <row r="52" spans="2:14" ht="14.25" customHeight="1" x14ac:dyDescent="0.25">
      <c r="B52" s="134" t="s">
        <v>136</v>
      </c>
    </row>
    <row r="53" spans="2:14" ht="17.25" customHeight="1" x14ac:dyDescent="0.25">
      <c r="B53" s="183" t="s">
        <v>222</v>
      </c>
      <c r="C53" s="118">
        <v>1</v>
      </c>
    </row>
    <row r="54" spans="2:14" ht="17.25" customHeight="1" x14ac:dyDescent="0.25">
      <c r="C54" s="118">
        <v>1</v>
      </c>
      <c r="E54" s="224" t="s">
        <v>207</v>
      </c>
    </row>
    <row r="55" spans="2:14" ht="14.25" customHeight="1" x14ac:dyDescent="0.35">
      <c r="B55" s="226" t="s">
        <v>59</v>
      </c>
      <c r="C55" s="172">
        <f>MIN(2.8*C68/C57-1.7,2.5)</f>
        <v>2.5</v>
      </c>
      <c r="E55" s="119" t="s">
        <v>351</v>
      </c>
      <c r="F55" s="119"/>
    </row>
    <row r="56" spans="2:14" ht="14.25" customHeight="1" x14ac:dyDescent="0.35">
      <c r="B56" s="226" t="s">
        <v>295</v>
      </c>
      <c r="C56" s="172">
        <f>IF(C54=1,C18,INDEX($L$29:$P$44,$C$13,2))</f>
        <v>10</v>
      </c>
      <c r="D56" s="119" t="s">
        <v>52</v>
      </c>
      <c r="E56" s="119" t="s">
        <v>195</v>
      </c>
      <c r="F56" s="119"/>
    </row>
    <row r="57" spans="2:14" ht="14.25" customHeight="1" x14ac:dyDescent="0.35">
      <c r="B57" s="226" t="s">
        <v>294</v>
      </c>
      <c r="C57" s="282">
        <f>C56+1</f>
        <v>11</v>
      </c>
      <c r="D57" s="119" t="s">
        <v>52</v>
      </c>
      <c r="E57" s="119" t="s">
        <v>342</v>
      </c>
      <c r="F57" s="119"/>
    </row>
    <row r="58" spans="2:14" ht="14.25" customHeight="1" x14ac:dyDescent="0.35">
      <c r="B58" s="226" t="s">
        <v>269</v>
      </c>
      <c r="C58" s="221">
        <v>5</v>
      </c>
      <c r="D58" s="119" t="s">
        <v>52</v>
      </c>
      <c r="E58" s="119" t="s">
        <v>287</v>
      </c>
      <c r="F58" s="119"/>
    </row>
    <row r="59" spans="2:14" ht="14.25" customHeight="1" x14ac:dyDescent="0.35">
      <c r="B59" s="226" t="s">
        <v>127</v>
      </c>
      <c r="C59" s="172">
        <f>MIN(C64/3/C57,0.66,C62/C61)</f>
        <v>0.66</v>
      </c>
      <c r="D59" s="119"/>
      <c r="E59" s="119" t="s">
        <v>358</v>
      </c>
      <c r="F59" s="119"/>
      <c r="G59" s="119"/>
    </row>
    <row r="60" spans="2:14" ht="14.25" customHeight="1" x14ac:dyDescent="0.35">
      <c r="B60" s="122" t="s">
        <v>139</v>
      </c>
      <c r="C60" s="172">
        <v>1.25</v>
      </c>
      <c r="E60" s="119" t="s">
        <v>130</v>
      </c>
      <c r="F60" s="119"/>
    </row>
    <row r="61" spans="2:14" ht="14.25" customHeight="1" x14ac:dyDescent="0.35">
      <c r="B61" s="226" t="s">
        <v>284</v>
      </c>
      <c r="C61" s="172">
        <f>INDEX($W$20:$AF$27,$C$53,10)</f>
        <v>195</v>
      </c>
      <c r="E61" s="119" t="s">
        <v>140</v>
      </c>
      <c r="F61" s="119"/>
    </row>
    <row r="62" spans="2:14" ht="14.25" customHeight="1" x14ac:dyDescent="0.35">
      <c r="B62" s="226" t="s">
        <v>133</v>
      </c>
      <c r="C62" s="172">
        <f>INDEX($N$16:$S$23,$C$14,4)</f>
        <v>500</v>
      </c>
      <c r="E62" s="119" t="s">
        <v>134</v>
      </c>
      <c r="F62" s="119"/>
    </row>
    <row r="63" spans="2:14" ht="14.25" customHeight="1" x14ac:dyDescent="0.35">
      <c r="B63" s="226" t="s">
        <v>341</v>
      </c>
      <c r="C63" s="222">
        <f>(C56+1)*1.5</f>
        <v>16.5</v>
      </c>
      <c r="D63" s="119" t="s">
        <v>52</v>
      </c>
      <c r="E63" s="119" t="s">
        <v>197</v>
      </c>
      <c r="F63" s="119"/>
    </row>
    <row r="64" spans="2:14" ht="14.25" customHeight="1" x14ac:dyDescent="0.35">
      <c r="B64" s="226" t="s">
        <v>353</v>
      </c>
      <c r="C64" s="280">
        <v>30</v>
      </c>
      <c r="D64" s="119" t="s">
        <v>52</v>
      </c>
      <c r="E64" s="119" t="s">
        <v>254</v>
      </c>
      <c r="F64" s="119"/>
    </row>
    <row r="65" spans="1:18" ht="14.25" customHeight="1" x14ac:dyDescent="0.35">
      <c r="B65" s="226" t="s">
        <v>354</v>
      </c>
      <c r="C65" s="257">
        <f>C64+(C56+1)/2</f>
        <v>35.5</v>
      </c>
      <c r="D65" s="119"/>
      <c r="E65" s="119" t="s">
        <v>355</v>
      </c>
      <c r="F65" s="119"/>
      <c r="H65" s="119"/>
      <c r="I65" s="119" t="s">
        <v>357</v>
      </c>
      <c r="L65" s="119" t="s">
        <v>415</v>
      </c>
    </row>
    <row r="66" spans="1:18" ht="14.25" customHeight="1" x14ac:dyDescent="0.35">
      <c r="B66" s="226" t="s">
        <v>352</v>
      </c>
      <c r="C66" s="227">
        <f>C56+1</f>
        <v>11</v>
      </c>
      <c r="D66" s="119" t="s">
        <v>52</v>
      </c>
      <c r="E66" s="119" t="s">
        <v>196</v>
      </c>
      <c r="F66" s="119"/>
      <c r="I66" s="270" t="s">
        <v>340</v>
      </c>
    </row>
    <row r="67" spans="1:18" ht="14.25" customHeight="1" x14ac:dyDescent="0.35">
      <c r="B67" s="226" t="s">
        <v>350</v>
      </c>
      <c r="C67" s="219">
        <v>36.25</v>
      </c>
      <c r="D67" s="119" t="s">
        <v>52</v>
      </c>
      <c r="E67" s="119" t="s">
        <v>345</v>
      </c>
      <c r="F67" s="119"/>
    </row>
    <row r="68" spans="1:18" ht="14.25" customHeight="1" x14ac:dyDescent="0.35">
      <c r="B68" s="226" t="s">
        <v>339</v>
      </c>
      <c r="C68" s="257">
        <f>C67+(C56+1)/2</f>
        <v>41.75</v>
      </c>
      <c r="D68" s="119" t="s">
        <v>52</v>
      </c>
      <c r="E68" s="119" t="s">
        <v>356</v>
      </c>
      <c r="F68" s="119"/>
      <c r="H68" s="119" t="s">
        <v>349</v>
      </c>
    </row>
    <row r="69" spans="1:18" ht="14.25" customHeight="1" x14ac:dyDescent="0.35">
      <c r="B69" s="220" t="s">
        <v>391</v>
      </c>
      <c r="C69" s="227">
        <f>2.5*(C56+1)</f>
        <v>27.5</v>
      </c>
      <c r="D69" s="119" t="s">
        <v>52</v>
      </c>
      <c r="E69" s="255" t="s">
        <v>394</v>
      </c>
    </row>
    <row r="70" spans="1:18" ht="14.25" customHeight="1" x14ac:dyDescent="0.35">
      <c r="B70" s="220" t="s">
        <v>392</v>
      </c>
      <c r="C70" s="219">
        <v>27.5</v>
      </c>
      <c r="D70" s="119" t="s">
        <v>52</v>
      </c>
      <c r="E70" s="255" t="s">
        <v>395</v>
      </c>
    </row>
    <row r="71" spans="1:18" ht="15.6" x14ac:dyDescent="0.35">
      <c r="B71" s="131" t="s">
        <v>114</v>
      </c>
      <c r="C71" s="229">
        <f>C55*C59*C61*C56*C58/C60</f>
        <v>12870</v>
      </c>
      <c r="D71" s="169" t="s">
        <v>92</v>
      </c>
      <c r="E71" s="119" t="s">
        <v>337</v>
      </c>
      <c r="H71" s="119" t="s">
        <v>338</v>
      </c>
    </row>
    <row r="72" spans="1:18" x14ac:dyDescent="0.25">
      <c r="C72" s="238">
        <f>C10/C71</f>
        <v>0.43951048951048949</v>
      </c>
      <c r="E72" s="119" t="s">
        <v>256</v>
      </c>
    </row>
    <row r="73" spans="1:18" ht="15.6" x14ac:dyDescent="0.35">
      <c r="C73" s="222" t="str">
        <f>IF(C71&gt;C10,"O.K.","NOT OK")</f>
        <v>O.K.</v>
      </c>
      <c r="D73" s="233"/>
      <c r="E73" s="258" t="s">
        <v>373</v>
      </c>
    </row>
    <row r="74" spans="1:18" x14ac:dyDescent="0.25">
      <c r="D74" s="242"/>
    </row>
    <row r="75" spans="1:18" x14ac:dyDescent="0.25">
      <c r="A75" s="126"/>
      <c r="B75" s="134" t="s">
        <v>275</v>
      </c>
    </row>
    <row r="76" spans="1:18" ht="15.6" x14ac:dyDescent="0.35">
      <c r="A76" s="126"/>
      <c r="B76" s="112" t="s">
        <v>365</v>
      </c>
      <c r="C76" s="168">
        <f>INDEX($W$20:$AF$27,$C$53,6)</f>
        <v>136.36363636363635</v>
      </c>
      <c r="D76" s="120" t="s">
        <v>51</v>
      </c>
      <c r="E76" s="119" t="s">
        <v>282</v>
      </c>
      <c r="F76" s="119"/>
      <c r="G76" s="119"/>
    </row>
    <row r="77" spans="1:18" ht="15.6" x14ac:dyDescent="0.35">
      <c r="A77" s="126"/>
      <c r="B77" s="226" t="s">
        <v>267</v>
      </c>
      <c r="C77" s="117">
        <f>2*C67+C70</f>
        <v>100</v>
      </c>
      <c r="D77" s="255" t="s">
        <v>52</v>
      </c>
      <c r="E77" s="119" t="s">
        <v>258</v>
      </c>
      <c r="F77" s="119"/>
      <c r="G77" s="256" t="str">
        <f>IF(C9=0,IF(C77&lt;2*(C54+1)+2.5*(C54+1)*C13+2*(C54+1)*(C13-1),"min hoogte "&amp;2*(C54+1)+2.5*(C54+1)*C13+2*(C54+1)*(C13-1)," "),IF(C77&lt;(2+C13)*C55,"min hoogte "&amp;(2+C13)*C55," "))</f>
        <v xml:space="preserve"> </v>
      </c>
    </row>
    <row r="78" spans="1:18" ht="15.6" x14ac:dyDescent="0.35">
      <c r="A78" s="126"/>
      <c r="B78" s="131" t="s">
        <v>268</v>
      </c>
      <c r="C78" s="262">
        <f>(C77-C70)*C58</f>
        <v>362.5</v>
      </c>
      <c r="D78" s="119" t="s">
        <v>211</v>
      </c>
      <c r="E78" s="119" t="s">
        <v>270</v>
      </c>
      <c r="F78" s="119"/>
      <c r="G78" s="119"/>
      <c r="H78" s="119" t="s">
        <v>336</v>
      </c>
      <c r="L78" s="119"/>
      <c r="M78" s="119"/>
      <c r="N78" s="119"/>
      <c r="O78" s="119"/>
      <c r="P78" s="119"/>
      <c r="Q78" s="119"/>
      <c r="R78" s="119"/>
    </row>
    <row r="79" spans="1:18" ht="15.6" x14ac:dyDescent="0.35">
      <c r="A79" s="126"/>
      <c r="B79" s="131" t="s">
        <v>407</v>
      </c>
      <c r="C79" s="259">
        <f>C8/2/C78</f>
        <v>-15.604137931034483</v>
      </c>
      <c r="D79" s="119" t="s">
        <v>51</v>
      </c>
      <c r="E79" s="119" t="s">
        <v>243</v>
      </c>
      <c r="F79" s="258" t="s">
        <v>370</v>
      </c>
      <c r="G79" s="119"/>
      <c r="I79" s="261"/>
      <c r="L79" s="119"/>
      <c r="M79" s="119"/>
      <c r="N79" s="119"/>
      <c r="O79" s="119"/>
      <c r="P79" s="119"/>
      <c r="Q79" s="119"/>
      <c r="R79" s="119"/>
    </row>
    <row r="80" spans="1:18" ht="16.2" x14ac:dyDescent="0.35">
      <c r="A80" s="126"/>
      <c r="B80" s="119"/>
      <c r="C80" s="222" t="str">
        <f>IF(ABS(C79)&lt;C76,"O.K.","NOT OK")</f>
        <v>O.K.</v>
      </c>
      <c r="D80" s="119"/>
      <c r="E80" s="110" t="s">
        <v>409</v>
      </c>
      <c r="F80" s="119"/>
      <c r="G80" s="119"/>
      <c r="L80" s="119"/>
      <c r="M80" s="119"/>
      <c r="N80" s="119"/>
      <c r="O80" s="119"/>
      <c r="P80" s="119"/>
      <c r="Q80" s="119"/>
      <c r="R80" s="119"/>
    </row>
    <row r="81" spans="1:18" x14ac:dyDescent="0.25">
      <c r="A81" s="126"/>
      <c r="B81" s="119"/>
      <c r="C81" s="119"/>
      <c r="D81" s="119"/>
      <c r="E81" s="119"/>
      <c r="F81" s="119"/>
      <c r="G81" s="119"/>
      <c r="L81" s="119"/>
      <c r="M81" s="119"/>
      <c r="N81" s="119"/>
      <c r="O81" s="119"/>
      <c r="P81" s="119"/>
      <c r="Q81" s="119"/>
      <c r="R81" s="119"/>
    </row>
    <row r="82" spans="1:18" x14ac:dyDescent="0.25">
      <c r="A82" s="126"/>
      <c r="B82" s="134" t="s">
        <v>296</v>
      </c>
      <c r="L82" s="119"/>
      <c r="M82" s="119"/>
      <c r="N82" s="119"/>
      <c r="O82" s="119"/>
      <c r="P82" s="119"/>
      <c r="Q82" s="119"/>
      <c r="R82" s="119"/>
    </row>
    <row r="83" spans="1:18" ht="15.6" x14ac:dyDescent="0.35">
      <c r="A83" s="264"/>
      <c r="B83" s="226" t="s">
        <v>321</v>
      </c>
      <c r="C83" s="221">
        <v>10</v>
      </c>
      <c r="D83" s="119" t="s">
        <v>52</v>
      </c>
      <c r="E83" s="119" t="s">
        <v>323</v>
      </c>
      <c r="F83" s="119"/>
      <c r="P83" s="168" t="s">
        <v>148</v>
      </c>
    </row>
    <row r="84" spans="1:18" ht="15.6" x14ac:dyDescent="0.35">
      <c r="A84" s="264"/>
      <c r="B84" s="226" t="s">
        <v>322</v>
      </c>
      <c r="C84" s="221">
        <v>10</v>
      </c>
      <c r="D84" s="119" t="s">
        <v>52</v>
      </c>
      <c r="E84" s="119" t="s">
        <v>324</v>
      </c>
      <c r="F84" s="119"/>
      <c r="P84" s="168"/>
    </row>
    <row r="85" spans="1:18" ht="15.6" x14ac:dyDescent="0.35">
      <c r="A85" s="264"/>
      <c r="B85" s="226" t="s">
        <v>90</v>
      </c>
      <c r="C85" s="221">
        <v>38</v>
      </c>
      <c r="D85" s="119" t="s">
        <v>52</v>
      </c>
      <c r="E85" s="119" t="s">
        <v>311</v>
      </c>
      <c r="F85" s="119"/>
      <c r="P85" s="168"/>
    </row>
    <row r="86" spans="1:18" x14ac:dyDescent="0.25">
      <c r="A86" s="264"/>
      <c r="P86" s="168"/>
    </row>
    <row r="87" spans="1:18" ht="15.6" x14ac:dyDescent="0.35">
      <c r="A87" s="264"/>
      <c r="B87" s="226" t="s">
        <v>91</v>
      </c>
      <c r="C87" s="221">
        <v>50</v>
      </c>
      <c r="D87" s="119" t="s">
        <v>52</v>
      </c>
      <c r="E87" s="119" t="s">
        <v>345</v>
      </c>
      <c r="F87" s="119"/>
      <c r="P87" s="168"/>
    </row>
    <row r="88" spans="1:18" ht="15.6" x14ac:dyDescent="0.35">
      <c r="A88" s="264"/>
      <c r="B88" s="226" t="s">
        <v>298</v>
      </c>
      <c r="C88" s="221">
        <v>140</v>
      </c>
      <c r="D88" s="119" t="s">
        <v>52</v>
      </c>
      <c r="E88" s="119" t="s">
        <v>305</v>
      </c>
      <c r="F88" s="119"/>
      <c r="P88" s="168"/>
    </row>
    <row r="89" spans="1:18" ht="15.6" x14ac:dyDescent="0.35">
      <c r="A89" s="264"/>
      <c r="B89" s="226" t="s">
        <v>388</v>
      </c>
      <c r="C89" s="221">
        <v>8</v>
      </c>
      <c r="D89" s="119" t="s">
        <v>52</v>
      </c>
      <c r="E89" s="119" t="s">
        <v>389</v>
      </c>
      <c r="F89" s="119"/>
      <c r="H89" s="273"/>
      <c r="P89" s="168"/>
    </row>
    <row r="90" spans="1:18" ht="15.6" x14ac:dyDescent="0.35">
      <c r="A90" s="264"/>
      <c r="B90" s="226" t="s">
        <v>300</v>
      </c>
      <c r="C90" s="275">
        <f>C89+1</f>
        <v>9</v>
      </c>
      <c r="D90" s="119" t="s">
        <v>52</v>
      </c>
      <c r="E90" s="119" t="s">
        <v>335</v>
      </c>
      <c r="F90" s="119"/>
      <c r="H90" s="270" t="s">
        <v>375</v>
      </c>
      <c r="P90" s="168"/>
    </row>
    <row r="91" spans="1:18" ht="15.6" x14ac:dyDescent="0.35">
      <c r="A91" s="264"/>
      <c r="B91" s="220" t="s">
        <v>390</v>
      </c>
      <c r="C91" s="274">
        <f>2.5*(C90+1)</f>
        <v>25</v>
      </c>
      <c r="D91" s="119" t="s">
        <v>52</v>
      </c>
      <c r="E91" s="255" t="s">
        <v>393</v>
      </c>
      <c r="H91" s="270"/>
      <c r="P91" s="168"/>
    </row>
    <row r="92" spans="1:18" ht="15.6" x14ac:dyDescent="0.35">
      <c r="A92" s="264"/>
      <c r="B92" s="220" t="s">
        <v>397</v>
      </c>
      <c r="C92" s="221">
        <v>25</v>
      </c>
      <c r="D92" s="119" t="s">
        <v>52</v>
      </c>
      <c r="E92" s="255" t="s">
        <v>396</v>
      </c>
      <c r="H92" s="270"/>
      <c r="P92" s="168"/>
    </row>
    <row r="93" spans="1:18" ht="15.6" x14ac:dyDescent="0.35">
      <c r="A93" s="264"/>
      <c r="B93" s="226" t="s">
        <v>399</v>
      </c>
      <c r="C93" s="275">
        <f>C92/2+C90+1</f>
        <v>22.5</v>
      </c>
      <c r="D93" s="119"/>
      <c r="E93" s="119" t="s">
        <v>398</v>
      </c>
      <c r="H93" s="270"/>
      <c r="P93" s="168"/>
    </row>
    <row r="94" spans="1:18" ht="15.6" x14ac:dyDescent="0.35">
      <c r="A94" s="264"/>
      <c r="B94" s="226" t="s">
        <v>225</v>
      </c>
      <c r="C94" s="221">
        <v>19</v>
      </c>
      <c r="D94" s="119" t="s">
        <v>52</v>
      </c>
      <c r="E94" s="119" t="s">
        <v>312</v>
      </c>
      <c r="F94" s="119"/>
      <c r="H94" s="270"/>
      <c r="P94" s="168"/>
    </row>
    <row r="95" spans="1:18" ht="15.6" x14ac:dyDescent="0.35">
      <c r="A95" s="264"/>
      <c r="B95" s="131" t="s">
        <v>297</v>
      </c>
      <c r="C95" s="170">
        <f>-(-C85+C85^2/C88)*C8/2/1000</f>
        <v>-156.60424285714285</v>
      </c>
      <c r="D95" s="119" t="s">
        <v>280</v>
      </c>
      <c r="E95" s="119" t="s">
        <v>306</v>
      </c>
      <c r="F95" s="119"/>
      <c r="G95" s="119"/>
      <c r="H95" s="176" t="s">
        <v>362</v>
      </c>
    </row>
    <row r="96" spans="1:18" ht="15.6" x14ac:dyDescent="0.35">
      <c r="A96" s="264"/>
      <c r="B96" s="131" t="s">
        <v>301</v>
      </c>
      <c r="C96" s="170">
        <f>(2*C87-C90)*C83^2/6/1000</f>
        <v>1.5166666666666668</v>
      </c>
      <c r="D96" s="119" t="s">
        <v>265</v>
      </c>
      <c r="E96" s="119" t="s">
        <v>307</v>
      </c>
      <c r="F96" s="119"/>
      <c r="G96" s="119"/>
      <c r="H96" s="176" t="s">
        <v>346</v>
      </c>
    </row>
    <row r="97" spans="1:12" ht="15.6" x14ac:dyDescent="0.35">
      <c r="A97" s="264"/>
      <c r="B97" s="131" t="s">
        <v>407</v>
      </c>
      <c r="C97" s="259">
        <f>C95/C96</f>
        <v>-103.25554474097329</v>
      </c>
      <c r="D97" s="119" t="s">
        <v>51</v>
      </c>
      <c r="E97" s="119" t="s">
        <v>243</v>
      </c>
      <c r="F97" s="119"/>
      <c r="G97" s="119"/>
      <c r="H97" s="176" t="s">
        <v>316</v>
      </c>
    </row>
    <row r="98" spans="1:12" ht="16.2" x14ac:dyDescent="0.35">
      <c r="A98" s="264"/>
      <c r="B98" s="131"/>
      <c r="C98" s="222" t="str">
        <f>IF(ABS(C97)&lt;C76,"O.K.","NOT OK")</f>
        <v>O.K.</v>
      </c>
      <c r="D98" s="119"/>
      <c r="E98" s="110" t="s">
        <v>409</v>
      </c>
      <c r="F98" s="119"/>
      <c r="G98" s="119"/>
      <c r="H98" s="110"/>
    </row>
    <row r="99" spans="1:12" ht="15.6" x14ac:dyDescent="0.35">
      <c r="A99" s="264"/>
      <c r="B99" s="131" t="s">
        <v>299</v>
      </c>
      <c r="C99" s="170">
        <f>C95-C85*C8/2/1000</f>
        <v>58.342757142857153</v>
      </c>
      <c r="D99" s="119" t="s">
        <v>280</v>
      </c>
      <c r="E99" s="119" t="s">
        <v>308</v>
      </c>
      <c r="F99" s="119"/>
      <c r="G99" s="119"/>
      <c r="H99" s="176" t="s">
        <v>363</v>
      </c>
    </row>
    <row r="100" spans="1:12" ht="15.6" x14ac:dyDescent="0.35">
      <c r="A100" s="264"/>
      <c r="B100" s="131" t="s">
        <v>304</v>
      </c>
      <c r="C100" s="170">
        <f>(2*C87)*C83^2/6/1000</f>
        <v>1.6666666666666667</v>
      </c>
      <c r="D100" s="169" t="s">
        <v>265</v>
      </c>
      <c r="E100" s="119" t="s">
        <v>309</v>
      </c>
      <c r="H100" s="176" t="s">
        <v>347</v>
      </c>
      <c r="L100" t="s">
        <v>330</v>
      </c>
    </row>
    <row r="101" spans="1:12" ht="15.6" x14ac:dyDescent="0.35">
      <c r="A101" s="264"/>
      <c r="B101" s="131" t="s">
        <v>407</v>
      </c>
      <c r="C101" s="259">
        <f>C99/C100</f>
        <v>35.005654285714293</v>
      </c>
      <c r="D101" s="119" t="s">
        <v>51</v>
      </c>
      <c r="E101" s="119" t="s">
        <v>243</v>
      </c>
      <c r="H101" s="176" t="s">
        <v>317</v>
      </c>
    </row>
    <row r="102" spans="1:12" ht="16.2" x14ac:dyDescent="0.35">
      <c r="A102" s="264"/>
      <c r="B102" s="131"/>
      <c r="C102" s="222" t="str">
        <f>IF(ABS(C101)&lt;C76,"O.K.","NOT OK")</f>
        <v>O.K.</v>
      </c>
      <c r="D102" s="119"/>
      <c r="E102" s="110" t="s">
        <v>408</v>
      </c>
      <c r="H102" s="110"/>
    </row>
    <row r="103" spans="1:12" ht="15.6" x14ac:dyDescent="0.35">
      <c r="A103" s="264"/>
      <c r="B103" s="131" t="s">
        <v>326</v>
      </c>
      <c r="C103" s="170">
        <f>(2*C87)*C84^2/6/1000</f>
        <v>1.6666666666666667</v>
      </c>
      <c r="D103" s="169" t="s">
        <v>265</v>
      </c>
      <c r="E103" s="119" t="s">
        <v>309</v>
      </c>
      <c r="H103" s="176" t="s">
        <v>348</v>
      </c>
    </row>
    <row r="104" spans="1:12" ht="15.6" x14ac:dyDescent="0.35">
      <c r="A104" s="264"/>
      <c r="B104" s="131" t="s">
        <v>407</v>
      </c>
      <c r="C104" s="259">
        <f>C99/C103</f>
        <v>35.005654285714293</v>
      </c>
      <c r="D104" s="119" t="s">
        <v>51</v>
      </c>
      <c r="E104" s="119" t="s">
        <v>243</v>
      </c>
      <c r="H104" s="176" t="s">
        <v>329</v>
      </c>
    </row>
    <row r="105" spans="1:12" ht="16.2" x14ac:dyDescent="0.35">
      <c r="A105" s="264"/>
      <c r="B105" s="131"/>
      <c r="C105" s="222" t="str">
        <f>IF(ABS(C104)&lt;C76,"O.K.","NOT OK")</f>
        <v>O.K.</v>
      </c>
      <c r="D105" s="119"/>
      <c r="E105" s="110" t="s">
        <v>408</v>
      </c>
      <c r="H105" s="110"/>
    </row>
    <row r="106" spans="1:12" x14ac:dyDescent="0.25">
      <c r="A106" s="264"/>
      <c r="B106" s="220"/>
    </row>
    <row r="107" spans="1:12" x14ac:dyDescent="0.25">
      <c r="A107" s="264"/>
      <c r="B107" s="134" t="s">
        <v>310</v>
      </c>
    </row>
    <row r="108" spans="1:12" ht="15.6" x14ac:dyDescent="0.35">
      <c r="A108" s="264"/>
      <c r="B108" s="265" t="s">
        <v>60</v>
      </c>
      <c r="C108" s="165">
        <f>(C95/C94*1000)</f>
        <v>-8242.3285714285703</v>
      </c>
      <c r="D108" s="119" t="s">
        <v>92</v>
      </c>
      <c r="E108" s="119" t="s">
        <v>330</v>
      </c>
      <c r="H108" s="255" t="s">
        <v>344</v>
      </c>
      <c r="I108" s="126"/>
    </row>
    <row r="109" spans="1:12" ht="15.6" x14ac:dyDescent="0.35">
      <c r="A109" s="264"/>
      <c r="B109" s="131" t="s">
        <v>318</v>
      </c>
      <c r="C109" s="266">
        <f xml:space="preserve"> -(C108+C8/2)</f>
        <v>13898.82857142857</v>
      </c>
      <c r="D109" s="119" t="s">
        <v>92</v>
      </c>
      <c r="E109" s="119" t="s">
        <v>313</v>
      </c>
      <c r="F109" s="119"/>
      <c r="G109" s="119"/>
      <c r="H109" s="255" t="s">
        <v>364</v>
      </c>
      <c r="I109" s="268"/>
    </row>
    <row r="110" spans="1:12" x14ac:dyDescent="0.25">
      <c r="B110" s="119"/>
      <c r="C110" s="119"/>
      <c r="D110" s="119"/>
      <c r="E110" s="119"/>
      <c r="F110" s="119"/>
      <c r="G110" s="119"/>
      <c r="H110" s="119"/>
      <c r="I110" s="119"/>
    </row>
    <row r="111" spans="1:12" x14ac:dyDescent="0.25">
      <c r="B111" s="119"/>
      <c r="C111" s="119"/>
      <c r="D111" s="119"/>
      <c r="E111" s="119"/>
      <c r="F111" s="119"/>
      <c r="G111" s="119"/>
      <c r="H111" s="119"/>
      <c r="I111" s="119"/>
    </row>
    <row r="112" spans="1:12" x14ac:dyDescent="0.25">
      <c r="B112" s="119"/>
      <c r="C112" s="119"/>
      <c r="D112" s="119"/>
      <c r="E112" s="119"/>
      <c r="F112" s="119"/>
      <c r="G112" s="119"/>
      <c r="H112" s="119"/>
      <c r="I112" s="119"/>
    </row>
    <row r="113" spans="2:9" x14ac:dyDescent="0.25">
      <c r="B113" s="119"/>
      <c r="C113" s="119"/>
      <c r="D113" s="119"/>
      <c r="E113" s="119"/>
      <c r="F113" s="119"/>
      <c r="G113" s="119"/>
      <c r="H113" s="119"/>
      <c r="I113" s="119"/>
    </row>
    <row r="114" spans="2:9" x14ac:dyDescent="0.25">
      <c r="B114" s="119"/>
      <c r="C114" s="119"/>
      <c r="D114" s="119"/>
      <c r="E114" s="119"/>
      <c r="F114" s="119"/>
      <c r="G114" s="119"/>
      <c r="H114" s="119"/>
      <c r="I114" s="119"/>
    </row>
    <row r="115" spans="2:9" x14ac:dyDescent="0.25">
      <c r="B115" s="119"/>
      <c r="C115" s="119"/>
      <c r="D115" s="119"/>
      <c r="E115" s="119"/>
      <c r="F115" s="119"/>
      <c r="G115" s="119"/>
      <c r="H115" s="119"/>
      <c r="I115" s="119"/>
    </row>
    <row r="116" spans="2:9" x14ac:dyDescent="0.25">
      <c r="B116" s="119"/>
      <c r="C116" s="119"/>
      <c r="D116" s="119"/>
      <c r="E116" s="119"/>
      <c r="F116" s="119"/>
      <c r="G116" s="119"/>
      <c r="H116" s="119"/>
      <c r="I116" s="119"/>
    </row>
    <row r="117" spans="2:9" x14ac:dyDescent="0.25">
      <c r="B117" s="119"/>
      <c r="C117" s="119"/>
      <c r="D117" s="119"/>
      <c r="E117" s="119"/>
      <c r="F117" s="119"/>
      <c r="G117" s="119"/>
      <c r="H117" s="119"/>
      <c r="I117" s="119"/>
    </row>
    <row r="139" spans="14:16" x14ac:dyDescent="0.25">
      <c r="N139" s="119"/>
      <c r="O139" s="119"/>
      <c r="P139" s="119"/>
    </row>
  </sheetData>
  <sheetProtection algorithmName="SHA-512" hashValue="D675nfEfB0+gDqjoJpchhfOZumSGlKZjj71dUrPEunfJJQhDk1tWG2z9zKgXJaB6P9v8VsXGwgnh/YQ0LBF61A==" saltValue="zDQ2zt0sXE0j6bfY4r20bg==" spinCount="100000" sheet="1" objects="1" scenarios="1" selectLockedCells="1"/>
  <mergeCells count="9">
    <mergeCell ref="B5:C5"/>
    <mergeCell ref="D5:K5"/>
    <mergeCell ref="L5:M5"/>
    <mergeCell ref="N5:S5"/>
    <mergeCell ref="B2:S2"/>
    <mergeCell ref="B4:C4"/>
    <mergeCell ref="D4:K4"/>
    <mergeCell ref="L4:M4"/>
    <mergeCell ref="N4:S4"/>
  </mergeCells>
  <pageMargins left="0.70866141732283472" right="0.70866141732283472" top="0.74803149606299213" bottom="0.74803149606299213" header="0.31496062992125984" footer="0.31496062992125984"/>
  <pageSetup paperSize="9" scale="53" fitToHeight="2" orientation="portrait" r:id="rId1"/>
  <headerFooter alignWithMargins="0">
    <oddFooter>&amp;L&amp;9Static - eurocode version 001&amp;C&amp;9Wind bracket type 1&amp;R&amp;9&amp;D   &amp;T</oddFooter>
  </headerFooter>
  <drawing r:id="rId2"/>
  <legacyDrawing r:id="rId3"/>
  <oleObjects>
    <mc:AlternateContent xmlns:mc="http://schemas.openxmlformats.org/markup-compatibility/2006">
      <mc:Choice Requires="x14">
        <oleObject progId="Acrobat Document" shapeId="80906" r:id="rId4">
          <objectPr defaultSize="0" autoPict="0" r:id="rId5">
            <anchor moveWithCells="1">
              <from>
                <xdr:col>11</xdr:col>
                <xdr:colOff>22860</xdr:colOff>
                <xdr:row>48</xdr:row>
                <xdr:rowOff>22860</xdr:rowOff>
              </from>
              <to>
                <xdr:col>19</xdr:col>
                <xdr:colOff>7620</xdr:colOff>
                <xdr:row>61</xdr:row>
                <xdr:rowOff>121920</xdr:rowOff>
              </to>
            </anchor>
          </objectPr>
        </oleObject>
      </mc:Choice>
      <mc:Fallback>
        <oleObject progId="Acrobat Document" shapeId="80906" r:id="rId4"/>
      </mc:Fallback>
    </mc:AlternateContent>
  </oleObjects>
  <mc:AlternateContent xmlns:mc="http://schemas.openxmlformats.org/markup-compatibility/2006">
    <mc:Choice Requires="x14">
      <controls>
        <mc:AlternateContent xmlns:mc="http://schemas.openxmlformats.org/markup-compatibility/2006">
          <mc:Choice Requires="x14">
            <control shapeId="80897" r:id="rId6" name="Drop Down 1">
              <controlPr defaultSize="0" autoLine="0" autoPict="0">
                <anchor>
                  <from>
                    <xdr:col>2</xdr:col>
                    <xdr:colOff>0</xdr:colOff>
                    <xdr:row>12</xdr:row>
                    <xdr:rowOff>0</xdr:rowOff>
                  </from>
                  <to>
                    <xdr:col>3</xdr:col>
                    <xdr:colOff>220980</xdr:colOff>
                    <xdr:row>13</xdr:row>
                    <xdr:rowOff>0</xdr:rowOff>
                  </to>
                </anchor>
              </controlPr>
            </control>
          </mc:Choice>
        </mc:AlternateContent>
        <mc:AlternateContent xmlns:mc="http://schemas.openxmlformats.org/markup-compatibility/2006">
          <mc:Choice Requires="x14">
            <control shapeId="80898" r:id="rId7" name="Drop Down 2">
              <controlPr defaultSize="0" autoLine="0" autoPict="0">
                <anchor>
                  <from>
                    <xdr:col>2</xdr:col>
                    <xdr:colOff>0</xdr:colOff>
                    <xdr:row>13</xdr:row>
                    <xdr:rowOff>0</xdr:rowOff>
                  </from>
                  <to>
                    <xdr:col>3</xdr:col>
                    <xdr:colOff>220980</xdr:colOff>
                    <xdr:row>14</xdr:row>
                    <xdr:rowOff>0</xdr:rowOff>
                  </to>
                </anchor>
              </controlPr>
            </control>
          </mc:Choice>
        </mc:AlternateContent>
        <mc:AlternateContent xmlns:mc="http://schemas.openxmlformats.org/markup-compatibility/2006">
          <mc:Choice Requires="x14">
            <control shapeId="80899" r:id="rId8" name="Drop Down 3">
              <controlPr defaultSize="0" autoLine="0" autoPict="0">
                <anchor>
                  <from>
                    <xdr:col>2</xdr:col>
                    <xdr:colOff>0</xdr:colOff>
                    <xdr:row>21</xdr:row>
                    <xdr:rowOff>0</xdr:rowOff>
                  </from>
                  <to>
                    <xdr:col>3</xdr:col>
                    <xdr:colOff>0</xdr:colOff>
                    <xdr:row>22</xdr:row>
                    <xdr:rowOff>0</xdr:rowOff>
                  </to>
                </anchor>
              </controlPr>
            </control>
          </mc:Choice>
        </mc:AlternateContent>
        <mc:AlternateContent xmlns:mc="http://schemas.openxmlformats.org/markup-compatibility/2006">
          <mc:Choice Requires="x14">
            <control shapeId="80900" r:id="rId9" name="Drop Down 4">
              <controlPr defaultSize="0" autoLine="0" autoPict="0">
                <anchor>
                  <from>
                    <xdr:col>2</xdr:col>
                    <xdr:colOff>0</xdr:colOff>
                    <xdr:row>33</xdr:row>
                    <xdr:rowOff>0</xdr:rowOff>
                  </from>
                  <to>
                    <xdr:col>3</xdr:col>
                    <xdr:colOff>0</xdr:colOff>
                    <xdr:row>34</xdr:row>
                    <xdr:rowOff>0</xdr:rowOff>
                  </to>
                </anchor>
              </controlPr>
            </control>
          </mc:Choice>
        </mc:AlternateContent>
        <mc:AlternateContent xmlns:mc="http://schemas.openxmlformats.org/markup-compatibility/2006">
          <mc:Choice Requires="x14">
            <control shapeId="80901" r:id="rId10" name="Drop Down 5">
              <controlPr defaultSize="0" autoLine="0" autoPict="0">
                <anchor>
                  <from>
                    <xdr:col>2</xdr:col>
                    <xdr:colOff>0</xdr:colOff>
                    <xdr:row>14</xdr:row>
                    <xdr:rowOff>0</xdr:rowOff>
                  </from>
                  <to>
                    <xdr:col>3</xdr:col>
                    <xdr:colOff>220980</xdr:colOff>
                    <xdr:row>15</xdr:row>
                    <xdr:rowOff>0</xdr:rowOff>
                  </to>
                </anchor>
              </controlPr>
            </control>
          </mc:Choice>
        </mc:AlternateContent>
        <mc:AlternateContent xmlns:mc="http://schemas.openxmlformats.org/markup-compatibility/2006">
          <mc:Choice Requires="x14">
            <control shapeId="80902" r:id="rId11" name="Drop Down 6">
              <controlPr defaultSize="0" autoLine="0" autoPict="0">
                <anchor>
                  <from>
                    <xdr:col>2</xdr:col>
                    <xdr:colOff>0</xdr:colOff>
                    <xdr:row>53</xdr:row>
                    <xdr:rowOff>0</xdr:rowOff>
                  </from>
                  <to>
                    <xdr:col>3</xdr:col>
                    <xdr:colOff>0</xdr:colOff>
                    <xdr:row>54</xdr:row>
                    <xdr:rowOff>0</xdr:rowOff>
                  </to>
                </anchor>
              </controlPr>
            </control>
          </mc:Choice>
        </mc:AlternateContent>
        <mc:AlternateContent xmlns:mc="http://schemas.openxmlformats.org/markup-compatibility/2006">
          <mc:Choice Requires="x14">
            <control shapeId="80903" r:id="rId12" name="Drop Down 7">
              <controlPr defaultSize="0" autoLine="0" autoPict="0">
                <anchor>
                  <from>
                    <xdr:col>2</xdr:col>
                    <xdr:colOff>0</xdr:colOff>
                    <xdr:row>32</xdr:row>
                    <xdr:rowOff>0</xdr:rowOff>
                  </from>
                  <to>
                    <xdr:col>6</xdr:col>
                    <xdr:colOff>0</xdr:colOff>
                    <xdr:row>33</xdr:row>
                    <xdr:rowOff>0</xdr:rowOff>
                  </to>
                </anchor>
              </controlPr>
            </control>
          </mc:Choice>
        </mc:AlternateContent>
        <mc:AlternateContent xmlns:mc="http://schemas.openxmlformats.org/markup-compatibility/2006">
          <mc:Choice Requires="x14">
            <control shapeId="80904" r:id="rId13" name="Drop Down 8">
              <controlPr defaultSize="0" autoLine="0" autoPict="0">
                <anchor>
                  <from>
                    <xdr:col>2</xdr:col>
                    <xdr:colOff>0</xdr:colOff>
                    <xdr:row>52</xdr:row>
                    <xdr:rowOff>0</xdr:rowOff>
                  </from>
                  <to>
                    <xdr:col>6</xdr:col>
                    <xdr:colOff>0</xdr:colOff>
                    <xdr:row>53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7">
    <pageSetUpPr fitToPage="1"/>
  </sheetPr>
  <dimension ref="A1:AG153"/>
  <sheetViews>
    <sheetView showGridLines="0" showRowColHeaders="0" tabSelected="1" zoomScaleNormal="100" workbookViewId="0">
      <selection activeCell="C17" sqref="C17"/>
    </sheetView>
  </sheetViews>
  <sheetFormatPr defaultRowHeight="13.8" x14ac:dyDescent="0.25"/>
  <cols>
    <col min="1" max="1" width="1.59765625" customWidth="1"/>
    <col min="2" max="10" width="8.59765625" customWidth="1"/>
    <col min="11" max="11" width="2.59765625" customWidth="1"/>
    <col min="12" max="19" width="8.59765625" customWidth="1"/>
    <col min="20" max="20" width="2.59765625" customWidth="1"/>
    <col min="21" max="22" width="9" customWidth="1"/>
    <col min="23" max="32" width="9" hidden="1" customWidth="1"/>
    <col min="33" max="33" width="8.796875" hidden="1" customWidth="1"/>
  </cols>
  <sheetData>
    <row r="1" spans="2:23" ht="14.25" customHeight="1" x14ac:dyDescent="0.25"/>
    <row r="2" spans="2:23" ht="14.25" customHeight="1" x14ac:dyDescent="0.25">
      <c r="B2" s="300" t="str">
        <f>CHOOSE(Project!$D$14,"Berekening van het gewichtsanker","","")</f>
        <v>Berekening van het gewichtsanker</v>
      </c>
      <c r="C2" s="301"/>
      <c r="D2" s="301"/>
      <c r="E2" s="301"/>
      <c r="F2" s="301"/>
      <c r="G2" s="301"/>
      <c r="H2" s="301"/>
      <c r="I2" s="301"/>
      <c r="J2" s="301"/>
      <c r="K2" s="301"/>
      <c r="L2" s="301"/>
      <c r="M2" s="301"/>
      <c r="N2" s="301"/>
      <c r="O2" s="301"/>
      <c r="P2" s="301"/>
      <c r="Q2" s="301"/>
      <c r="R2" s="301"/>
      <c r="S2" s="302"/>
    </row>
    <row r="3" spans="2:23" ht="14.25" customHeight="1" x14ac:dyDescent="0.25">
      <c r="M3" s="182"/>
      <c r="N3" s="182"/>
    </row>
    <row r="4" spans="2:23" ht="14.25" customHeight="1" x14ac:dyDescent="0.25">
      <c r="B4" s="361" t="str">
        <f>CHOOSE(Project!$D$14,"Gevel","Facade","Facade", "Fassade")</f>
        <v>Gevel</v>
      </c>
      <c r="C4" s="362"/>
      <c r="D4" s="363"/>
      <c r="E4" s="364"/>
      <c r="F4" s="364"/>
      <c r="G4" s="364"/>
      <c r="H4" s="364"/>
      <c r="I4" s="364"/>
      <c r="J4" s="364"/>
      <c r="K4" s="365"/>
      <c r="L4" s="366" t="str">
        <f>Project!B4</f>
        <v>Project</v>
      </c>
      <c r="M4" s="367"/>
      <c r="N4" s="368"/>
      <c r="O4" s="369"/>
      <c r="P4" s="369"/>
      <c r="Q4" s="369"/>
      <c r="R4" s="369"/>
      <c r="S4" s="370"/>
    </row>
    <row r="5" spans="2:23" ht="14.25" customHeight="1" x14ac:dyDescent="0.25">
      <c r="B5" s="303" t="str">
        <f>CHOOSE(Project!$D$14,"Bouwdeel","Element du bâtiment","Building part","Bauteil")</f>
        <v>Bouwdeel</v>
      </c>
      <c r="C5" s="304"/>
      <c r="D5" s="357"/>
      <c r="E5" s="288"/>
      <c r="F5" s="288"/>
      <c r="G5" s="288"/>
      <c r="H5" s="288"/>
      <c r="I5" s="288"/>
      <c r="J5" s="288"/>
      <c r="K5" s="289"/>
      <c r="L5" s="345" t="str">
        <f>Project!B5</f>
        <v>Dossiernummer</v>
      </c>
      <c r="M5" s="346"/>
      <c r="N5" s="358"/>
      <c r="O5" s="359"/>
      <c r="P5" s="359"/>
      <c r="Q5" s="359"/>
      <c r="R5" s="359"/>
      <c r="S5" s="360"/>
    </row>
    <row r="6" spans="2:23" ht="14.25" customHeight="1" x14ac:dyDescent="0.25"/>
    <row r="7" spans="2:23" ht="14.25" customHeight="1" x14ac:dyDescent="0.25">
      <c r="B7" s="134" t="s">
        <v>95</v>
      </c>
      <c r="W7" s="119" t="s">
        <v>108</v>
      </c>
    </row>
    <row r="8" spans="2:23" ht="14.25" customHeight="1" x14ac:dyDescent="0.35">
      <c r="B8" s="131" t="s">
        <v>360</v>
      </c>
      <c r="C8" s="272">
        <v>-17415</v>
      </c>
      <c r="D8" s="119" t="s">
        <v>92</v>
      </c>
      <c r="E8" s="119" t="s">
        <v>343</v>
      </c>
      <c r="F8" s="119"/>
      <c r="G8" s="119"/>
      <c r="L8" s="228" t="s">
        <v>249</v>
      </c>
      <c r="M8" s="228" t="s">
        <v>246</v>
      </c>
      <c r="N8" s="228" t="s">
        <v>251</v>
      </c>
      <c r="O8" s="228" t="s">
        <v>198</v>
      </c>
      <c r="R8" s="235" t="s">
        <v>204</v>
      </c>
      <c r="S8" s="236" t="s">
        <v>201</v>
      </c>
      <c r="W8" s="119" t="s">
        <v>110</v>
      </c>
    </row>
    <row r="9" spans="2:23" ht="14.25" customHeight="1" x14ac:dyDescent="0.35">
      <c r="B9" s="131" t="s">
        <v>361</v>
      </c>
      <c r="C9" s="272">
        <v>13689</v>
      </c>
      <c r="D9" s="119" t="s">
        <v>92</v>
      </c>
      <c r="E9" s="119" t="s">
        <v>359</v>
      </c>
      <c r="L9" s="228">
        <v>17.2</v>
      </c>
      <c r="M9" s="228">
        <v>2.2999999999999998</v>
      </c>
      <c r="N9" s="228">
        <f>L9-2*M9</f>
        <v>12.6</v>
      </c>
      <c r="O9" s="228">
        <v>17.5</v>
      </c>
      <c r="R9" s="235" t="s">
        <v>219</v>
      </c>
      <c r="S9" s="237">
        <v>0.85</v>
      </c>
    </row>
    <row r="10" spans="2:23" ht="14.25" customHeight="1" x14ac:dyDescent="0.25">
      <c r="B10" s="131" t="s">
        <v>276</v>
      </c>
      <c r="C10" s="278">
        <v>7505</v>
      </c>
      <c r="D10" s="119" t="s">
        <v>92</v>
      </c>
      <c r="E10" s="119" t="s">
        <v>283</v>
      </c>
      <c r="F10" s="119"/>
      <c r="G10" s="119"/>
      <c r="L10" s="228">
        <v>25</v>
      </c>
      <c r="M10" s="228">
        <v>2</v>
      </c>
      <c r="N10" s="228">
        <f>L10-2*M10</f>
        <v>21</v>
      </c>
      <c r="O10" s="228">
        <v>25.5</v>
      </c>
      <c r="R10" s="235" t="s">
        <v>223</v>
      </c>
      <c r="S10" s="237">
        <v>1</v>
      </c>
      <c r="W10" s="119" t="s">
        <v>219</v>
      </c>
    </row>
    <row r="11" spans="2:23" ht="14.25" customHeight="1" x14ac:dyDescent="0.35">
      <c r="B11" s="112" t="s">
        <v>93</v>
      </c>
      <c r="C11" s="168">
        <v>1.2</v>
      </c>
      <c r="E11" s="98" t="str">
        <f>CHOOSE(Project!$D$14,"partiele coëficient eigen gewicht voor verankering secundaire constructie","coeficient partiel pour le propre poids (attaches structure secondaire)","")</f>
        <v>partiele coëficient eigen gewicht voor verankering secundaire constructie</v>
      </c>
      <c r="F11" s="119"/>
      <c r="G11" s="119"/>
      <c r="L11" s="228">
        <v>26.9</v>
      </c>
      <c r="M11" s="228">
        <v>2</v>
      </c>
      <c r="N11" s="228">
        <f>L11-2*M11</f>
        <v>22.9</v>
      </c>
      <c r="O11" s="228">
        <v>27.5</v>
      </c>
      <c r="R11" s="235" t="s">
        <v>224</v>
      </c>
      <c r="S11" s="237">
        <v>1</v>
      </c>
      <c r="W11" s="119" t="s">
        <v>203</v>
      </c>
    </row>
    <row r="12" spans="2:23" ht="14.25" customHeight="1" x14ac:dyDescent="0.35">
      <c r="B12" s="112" t="s">
        <v>278</v>
      </c>
      <c r="C12" s="279">
        <f>C10*C11</f>
        <v>9006</v>
      </c>
      <c r="D12" s="119" t="s">
        <v>92</v>
      </c>
      <c r="E12" s="119" t="s">
        <v>277</v>
      </c>
      <c r="F12" s="119"/>
      <c r="G12" s="119"/>
    </row>
    <row r="13" spans="2:23" ht="14.25" customHeight="1" x14ac:dyDescent="0.45">
      <c r="B13" s="131" t="s">
        <v>96</v>
      </c>
      <c r="C13" s="279">
        <f>(MAX(C8^2,C9^2)+C12^2)^0.5</f>
        <v>19605.873125163285</v>
      </c>
      <c r="D13" s="119" t="s">
        <v>92</v>
      </c>
      <c r="E13" s="119" t="s">
        <v>279</v>
      </c>
      <c r="F13" s="119"/>
      <c r="G13" s="119"/>
    </row>
    <row r="14" spans="2:23" ht="14.25" customHeight="1" x14ac:dyDescent="0.35">
      <c r="B14" s="220" t="s">
        <v>371</v>
      </c>
      <c r="C14" s="229">
        <f>C13/2</f>
        <v>9802.9365625816426</v>
      </c>
      <c r="D14" s="119" t="s">
        <v>92</v>
      </c>
      <c r="E14" s="119" t="s">
        <v>200</v>
      </c>
      <c r="F14" s="119"/>
      <c r="G14" s="119"/>
      <c r="W14" s="119" t="s">
        <v>220</v>
      </c>
    </row>
    <row r="15" spans="2:23" ht="14.25" customHeight="1" x14ac:dyDescent="0.25">
      <c r="L15" s="119" t="s">
        <v>193</v>
      </c>
      <c r="W15" s="119" t="s">
        <v>221</v>
      </c>
    </row>
    <row r="16" spans="2:23" ht="14.25" customHeight="1" x14ac:dyDescent="0.35">
      <c r="B16" s="134" t="s">
        <v>212</v>
      </c>
      <c r="L16" s="164" t="s">
        <v>98</v>
      </c>
      <c r="M16" s="164" t="s">
        <v>99</v>
      </c>
      <c r="N16" s="164" t="s">
        <v>88</v>
      </c>
      <c r="O16" s="164" t="s">
        <v>100</v>
      </c>
      <c r="P16" s="164" t="s">
        <v>101</v>
      </c>
      <c r="Q16" s="164" t="s">
        <v>102</v>
      </c>
      <c r="R16" s="217" t="s">
        <v>103</v>
      </c>
      <c r="S16" s="217" t="s">
        <v>104</v>
      </c>
    </row>
    <row r="17" spans="2:33" ht="17.25" customHeight="1" x14ac:dyDescent="0.25">
      <c r="B17" s="281"/>
      <c r="C17" s="118">
        <v>4</v>
      </c>
      <c r="D17" s="108"/>
      <c r="E17" s="109" t="s">
        <v>206</v>
      </c>
      <c r="F17" s="108"/>
      <c r="G17" s="108"/>
      <c r="H17" s="119"/>
      <c r="L17" s="164" t="s">
        <v>105</v>
      </c>
      <c r="M17" s="164"/>
      <c r="N17" s="164" t="s">
        <v>106</v>
      </c>
      <c r="O17" s="164" t="s">
        <v>107</v>
      </c>
      <c r="P17" s="164">
        <v>240</v>
      </c>
      <c r="Q17" s="164">
        <v>400</v>
      </c>
      <c r="R17" s="164">
        <v>0.6</v>
      </c>
      <c r="S17" s="164">
        <v>0.6</v>
      </c>
      <c r="W17" s="119" t="s">
        <v>218</v>
      </c>
    </row>
    <row r="18" spans="2:33" ht="17.25" customHeight="1" x14ac:dyDescent="0.25">
      <c r="B18" s="281"/>
      <c r="C18" s="118">
        <v>6</v>
      </c>
      <c r="D18" s="108"/>
      <c r="E18" s="109" t="s">
        <v>205</v>
      </c>
      <c r="F18" s="98"/>
      <c r="G18" s="108"/>
      <c r="L18" s="164" t="s">
        <v>105</v>
      </c>
      <c r="M18" s="164"/>
      <c r="N18" s="164" t="s">
        <v>109</v>
      </c>
      <c r="O18" s="164" t="s">
        <v>107</v>
      </c>
      <c r="P18" s="164">
        <v>300</v>
      </c>
      <c r="Q18" s="164">
        <v>500</v>
      </c>
      <c r="R18" s="164">
        <v>0.6</v>
      </c>
      <c r="S18" s="164">
        <v>0.6</v>
      </c>
      <c r="W18" s="119" t="s">
        <v>126</v>
      </c>
    </row>
    <row r="19" spans="2:33" ht="17.25" customHeight="1" x14ac:dyDescent="0.25">
      <c r="B19" s="108"/>
      <c r="C19" s="118">
        <v>2</v>
      </c>
      <c r="D19" s="108"/>
      <c r="E19" s="109" t="s">
        <v>204</v>
      </c>
      <c r="F19" s="108"/>
      <c r="G19" s="108"/>
      <c r="L19" s="164" t="s">
        <v>105</v>
      </c>
      <c r="M19" s="164"/>
      <c r="N19" s="164" t="s">
        <v>111</v>
      </c>
      <c r="O19" s="164" t="s">
        <v>107</v>
      </c>
      <c r="P19" s="164">
        <v>480</v>
      </c>
      <c r="Q19" s="164">
        <v>600</v>
      </c>
      <c r="R19" s="164">
        <v>0.5</v>
      </c>
      <c r="S19" s="164">
        <v>0.6</v>
      </c>
    </row>
    <row r="20" spans="2:33" ht="14.25" customHeight="1" x14ac:dyDescent="0.35">
      <c r="B20" s="131" t="s">
        <v>147</v>
      </c>
      <c r="C20" s="223">
        <f>INDEX($L$30:$P$45,$C$17,4)</f>
        <v>78.537500000000009</v>
      </c>
      <c r="D20" s="119" t="s">
        <v>211</v>
      </c>
      <c r="E20" s="119" t="s">
        <v>213</v>
      </c>
      <c r="L20" s="164" t="s">
        <v>105</v>
      </c>
      <c r="M20" s="164"/>
      <c r="N20" s="164" t="s">
        <v>113</v>
      </c>
      <c r="O20" s="164" t="s">
        <v>107</v>
      </c>
      <c r="P20" s="164">
        <v>640</v>
      </c>
      <c r="Q20" s="164">
        <v>800</v>
      </c>
      <c r="R20" s="164">
        <v>0.6</v>
      </c>
      <c r="S20" s="164">
        <v>0.6</v>
      </c>
      <c r="W20" s="115" t="str">
        <f>CHOOSE(Project!$D$14,"Rekenwaarde karakteristieke weerstand materialen","valeur de calcul résistance caractéristique des matériaux","")</f>
        <v>Rekenwaarde karakteristieke weerstand materialen</v>
      </c>
      <c r="X20" s="111"/>
      <c r="Y20" s="111"/>
      <c r="Z20" s="111"/>
      <c r="AA20" s="116"/>
      <c r="AB20" s="112" t="s">
        <v>53</v>
      </c>
      <c r="AD20" s="2" t="s">
        <v>48</v>
      </c>
      <c r="AE20" s="108"/>
      <c r="AF20" s="230" t="s">
        <v>217</v>
      </c>
    </row>
    <row r="21" spans="2:33" ht="14.25" customHeight="1" x14ac:dyDescent="0.35">
      <c r="B21" s="131" t="s">
        <v>146</v>
      </c>
      <c r="C21" s="223">
        <f>INDEX($L$30:$P$45,$C$17,3)</f>
        <v>57.991814333374997</v>
      </c>
      <c r="D21" s="119" t="s">
        <v>211</v>
      </c>
      <c r="E21" s="119" t="s">
        <v>214</v>
      </c>
      <c r="L21" s="164" t="s">
        <v>105</v>
      </c>
      <c r="M21" s="164"/>
      <c r="N21" s="164" t="s">
        <v>116</v>
      </c>
      <c r="O21" s="164" t="s">
        <v>107</v>
      </c>
      <c r="P21" s="164">
        <v>900</v>
      </c>
      <c r="Q21" s="164">
        <v>1000</v>
      </c>
      <c r="R21" s="164">
        <v>0.5</v>
      </c>
      <c r="S21" s="164">
        <v>0.6</v>
      </c>
      <c r="W21" s="249" t="s">
        <v>233</v>
      </c>
      <c r="X21" s="98"/>
      <c r="Y21" s="98"/>
      <c r="Z21" s="98"/>
      <c r="AA21" s="98"/>
      <c r="AB21" s="109">
        <f>Project!J28</f>
        <v>136.36363636363635</v>
      </c>
      <c r="AC21" s="109" t="s">
        <v>19</v>
      </c>
      <c r="AD21" s="114">
        <v>70000</v>
      </c>
      <c r="AE21" s="109" t="s">
        <v>19</v>
      </c>
      <c r="AF21" s="119">
        <v>195</v>
      </c>
      <c r="AG21" s="109" t="s">
        <v>19</v>
      </c>
    </row>
    <row r="22" spans="2:33" ht="14.25" customHeight="1" x14ac:dyDescent="0.35">
      <c r="B22" s="131" t="s">
        <v>199</v>
      </c>
      <c r="C22" s="219">
        <v>12</v>
      </c>
      <c r="D22" s="119" t="s">
        <v>52</v>
      </c>
      <c r="E22" s="119" t="s">
        <v>215</v>
      </c>
      <c r="L22" s="164" t="s">
        <v>118</v>
      </c>
      <c r="M22" s="164" t="s">
        <v>119</v>
      </c>
      <c r="N22" s="164">
        <v>50</v>
      </c>
      <c r="O22" s="164" t="s">
        <v>107</v>
      </c>
      <c r="P22" s="164">
        <v>210</v>
      </c>
      <c r="Q22" s="164">
        <v>500</v>
      </c>
      <c r="R22" s="164">
        <v>0.5</v>
      </c>
      <c r="S22" s="164">
        <v>0.6</v>
      </c>
      <c r="W22" s="249" t="s">
        <v>234</v>
      </c>
      <c r="X22" s="98"/>
      <c r="Y22" s="98"/>
      <c r="Z22" s="98"/>
      <c r="AA22" s="98"/>
      <c r="AB22" s="109">
        <f>Project!J29</f>
        <v>145.45454545454544</v>
      </c>
      <c r="AC22" s="109" t="s">
        <v>19</v>
      </c>
      <c r="AD22" s="114">
        <v>70000</v>
      </c>
      <c r="AE22" s="109" t="s">
        <v>19</v>
      </c>
      <c r="AF22" s="119">
        <v>215</v>
      </c>
      <c r="AG22" s="109" t="s">
        <v>19</v>
      </c>
    </row>
    <row r="23" spans="2:33" ht="14.25" customHeight="1" x14ac:dyDescent="0.35">
      <c r="B23" s="131" t="s">
        <v>198</v>
      </c>
      <c r="C23" s="219">
        <v>12.5</v>
      </c>
      <c r="D23" s="119" t="s">
        <v>52</v>
      </c>
      <c r="E23" s="119" t="s">
        <v>216</v>
      </c>
      <c r="L23" s="164" t="s">
        <v>118</v>
      </c>
      <c r="M23" s="164" t="s">
        <v>119</v>
      </c>
      <c r="N23" s="164">
        <v>70</v>
      </c>
      <c r="O23" s="164" t="s">
        <v>107</v>
      </c>
      <c r="P23" s="164">
        <v>450</v>
      </c>
      <c r="Q23" s="164">
        <v>700</v>
      </c>
      <c r="R23" s="164">
        <v>0.5</v>
      </c>
      <c r="S23" s="164">
        <v>0.6</v>
      </c>
      <c r="W23" s="249" t="s">
        <v>238</v>
      </c>
      <c r="X23" s="98"/>
      <c r="Y23" s="98"/>
      <c r="Z23" s="98"/>
      <c r="AA23" s="98"/>
      <c r="AB23" s="109">
        <f>Project!J30</f>
        <v>163.63636363636363</v>
      </c>
      <c r="AC23" s="109" t="s">
        <v>19</v>
      </c>
      <c r="AD23" s="114">
        <v>70000</v>
      </c>
      <c r="AE23" s="109" t="s">
        <v>19</v>
      </c>
      <c r="AF23" s="119">
        <v>225</v>
      </c>
      <c r="AG23" s="109" t="s">
        <v>19</v>
      </c>
    </row>
    <row r="24" spans="2:33" ht="14.25" customHeight="1" x14ac:dyDescent="0.35">
      <c r="H24" s="120"/>
      <c r="L24" s="164" t="s">
        <v>118</v>
      </c>
      <c r="M24" s="164" t="s">
        <v>119</v>
      </c>
      <c r="N24" s="164">
        <v>80</v>
      </c>
      <c r="O24" s="164" t="s">
        <v>107</v>
      </c>
      <c r="P24" s="164">
        <v>600</v>
      </c>
      <c r="Q24" s="164">
        <v>800</v>
      </c>
      <c r="R24" s="164">
        <v>0.5</v>
      </c>
      <c r="S24" s="164">
        <v>0.6</v>
      </c>
      <c r="W24" s="249" t="s">
        <v>235</v>
      </c>
      <c r="X24" s="98"/>
      <c r="Y24" s="98"/>
      <c r="Z24" s="98"/>
      <c r="AA24" s="98"/>
      <c r="AB24" s="109">
        <f>Project!J31</f>
        <v>181.81818181818181</v>
      </c>
      <c r="AC24" s="109" t="s">
        <v>19</v>
      </c>
      <c r="AD24" s="114">
        <v>70000</v>
      </c>
      <c r="AE24" s="109" t="s">
        <v>19</v>
      </c>
      <c r="AF24" s="119">
        <v>245</v>
      </c>
      <c r="AG24" s="109" t="s">
        <v>19</v>
      </c>
    </row>
    <row r="25" spans="2:33" ht="14.25" customHeight="1" x14ac:dyDescent="0.35">
      <c r="B25" s="134" t="s">
        <v>141</v>
      </c>
      <c r="L25" s="218" t="s">
        <v>194</v>
      </c>
      <c r="W25" s="249" t="s">
        <v>236</v>
      </c>
      <c r="X25" s="111"/>
      <c r="Y25" s="111"/>
      <c r="Z25" s="111"/>
      <c r="AA25" s="111"/>
      <c r="AB25" s="109">
        <f>Project!J32</f>
        <v>235</v>
      </c>
      <c r="AC25" s="109" t="s">
        <v>19</v>
      </c>
      <c r="AD25" s="114">
        <v>210000</v>
      </c>
      <c r="AE25" s="109" t="s">
        <v>19</v>
      </c>
      <c r="AF25" s="119">
        <v>360</v>
      </c>
      <c r="AG25" s="109" t="s">
        <v>19</v>
      </c>
    </row>
    <row r="26" spans="2:33" ht="17.25" customHeight="1" x14ac:dyDescent="0.35">
      <c r="B26" s="108"/>
      <c r="C26" s="118">
        <v>1</v>
      </c>
      <c r="D26" s="119"/>
      <c r="E26" s="119" t="s">
        <v>208</v>
      </c>
      <c r="W26" s="249" t="s">
        <v>237</v>
      </c>
      <c r="X26" s="111"/>
      <c r="Y26" s="111"/>
      <c r="Z26" s="111"/>
      <c r="AA26" s="111"/>
      <c r="AB26" s="109">
        <f>Project!J33</f>
        <v>355</v>
      </c>
      <c r="AC26" s="109" t="s">
        <v>19</v>
      </c>
      <c r="AD26" s="114">
        <v>210000</v>
      </c>
      <c r="AE26" s="109" t="s">
        <v>19</v>
      </c>
      <c r="AF26" s="119">
        <v>510</v>
      </c>
      <c r="AG26" s="109" t="s">
        <v>19</v>
      </c>
    </row>
    <row r="27" spans="2:33" ht="14.25" customHeight="1" x14ac:dyDescent="0.35">
      <c r="B27" s="226" t="s">
        <v>144</v>
      </c>
      <c r="C27" s="172">
        <f>IF(C26=1,IF(OR(C18=3,C18=5,C18=6,C18=7,C18=8),0.5,0.6),0.6)</f>
        <v>0.5</v>
      </c>
      <c r="D27" s="119"/>
      <c r="W27" s="250" t="s">
        <v>49</v>
      </c>
      <c r="X27" s="108"/>
      <c r="Y27" s="108"/>
      <c r="Z27" s="108"/>
      <c r="AA27" s="108"/>
      <c r="AB27" s="109">
        <f>Project!J34</f>
        <v>230</v>
      </c>
      <c r="AC27" s="109" t="s">
        <v>19</v>
      </c>
      <c r="AD27" s="114">
        <v>210000</v>
      </c>
      <c r="AE27" s="109" t="s">
        <v>19</v>
      </c>
      <c r="AF27" s="119">
        <v>540</v>
      </c>
      <c r="AG27" s="109" t="s">
        <v>19</v>
      </c>
    </row>
    <row r="28" spans="2:33" ht="14.25" customHeight="1" x14ac:dyDescent="0.35">
      <c r="B28" s="226" t="s">
        <v>133</v>
      </c>
      <c r="C28" s="167">
        <f>INDEX($N$17:$S$24,$C$18,4)</f>
        <v>500</v>
      </c>
      <c r="D28" s="119" t="s">
        <v>51</v>
      </c>
      <c r="E28" s="119" t="s">
        <v>134</v>
      </c>
      <c r="F28" s="119"/>
      <c r="L28" s="228" t="s">
        <v>245</v>
      </c>
      <c r="M28" s="236" t="s">
        <v>244</v>
      </c>
      <c r="N28" s="228" t="s">
        <v>243</v>
      </c>
      <c r="O28" s="236" t="s">
        <v>110</v>
      </c>
      <c r="P28" s="228" t="s">
        <v>242</v>
      </c>
      <c r="Q28" s="228" t="s">
        <v>241</v>
      </c>
      <c r="R28" s="228" t="s">
        <v>240</v>
      </c>
      <c r="W28" s="250" t="s">
        <v>50</v>
      </c>
      <c r="X28" s="108"/>
      <c r="Y28" s="108"/>
      <c r="Z28" s="108"/>
      <c r="AA28" s="108"/>
      <c r="AB28" s="109">
        <f>Project!J35</f>
        <v>210</v>
      </c>
      <c r="AC28" s="109" t="s">
        <v>19</v>
      </c>
      <c r="AD28" s="114">
        <v>210000</v>
      </c>
      <c r="AE28" s="109" t="s">
        <v>19</v>
      </c>
      <c r="AF28" s="119">
        <v>520</v>
      </c>
      <c r="AG28" s="109" t="s">
        <v>19</v>
      </c>
    </row>
    <row r="29" spans="2:33" ht="14.25" customHeight="1" x14ac:dyDescent="0.35">
      <c r="B29" s="226" t="s">
        <v>201</v>
      </c>
      <c r="C29" s="170">
        <f>IF(AND(C19=1,C26=1),0.85,1)</f>
        <v>1</v>
      </c>
      <c r="D29" s="119"/>
      <c r="E29" s="119" t="s">
        <v>210</v>
      </c>
      <c r="L29" s="228" t="s">
        <v>97</v>
      </c>
      <c r="M29" s="228" t="s">
        <v>31</v>
      </c>
      <c r="N29" s="228" t="s">
        <v>146</v>
      </c>
      <c r="O29" s="228" t="s">
        <v>147</v>
      </c>
      <c r="P29" s="228" t="s">
        <v>123</v>
      </c>
      <c r="Q29" s="228" t="s">
        <v>226</v>
      </c>
      <c r="R29" s="228" t="s">
        <v>239</v>
      </c>
      <c r="W29" s="113" t="s">
        <v>89</v>
      </c>
      <c r="AB29" s="109">
        <v>0</v>
      </c>
      <c r="AC29" s="109" t="s">
        <v>19</v>
      </c>
      <c r="AD29" s="114">
        <v>0</v>
      </c>
      <c r="AE29" s="109" t="s">
        <v>19</v>
      </c>
      <c r="AF29" s="119">
        <v>0</v>
      </c>
      <c r="AG29" s="109" t="s">
        <v>19</v>
      </c>
    </row>
    <row r="30" spans="2:33" ht="14.25" customHeight="1" x14ac:dyDescent="0.25">
      <c r="B30" s="226" t="s">
        <v>24</v>
      </c>
      <c r="C30" s="174">
        <f>IF(C26=1,INDEX($L$30:$P$45,$C$17,3),INDEX($L$30:$P$45,$C$17,4))</f>
        <v>57.991814333374997</v>
      </c>
      <c r="D30" s="119" t="s">
        <v>211</v>
      </c>
      <c r="E30" s="119" t="s">
        <v>209</v>
      </c>
      <c r="F30" s="119"/>
      <c r="L30" s="228" t="s">
        <v>149</v>
      </c>
      <c r="M30" s="228">
        <v>5</v>
      </c>
      <c r="N30" s="254">
        <f t="shared" ref="N30:N45" si="0">((Q30+R30)/2)^2/4*3.1415</f>
        <v>14.182498290093754</v>
      </c>
      <c r="O30" s="234">
        <f>M30^2/4*3.1415</f>
        <v>19.634375000000002</v>
      </c>
      <c r="P30" s="253">
        <f>M30+0.5</f>
        <v>5.5</v>
      </c>
      <c r="Q30" s="271">
        <v>4.4800000000000004</v>
      </c>
      <c r="R30" s="271">
        <v>4.0190000000000001</v>
      </c>
    </row>
    <row r="31" spans="2:33" ht="14.25" customHeight="1" x14ac:dyDescent="0.35">
      <c r="B31" s="122" t="s">
        <v>286</v>
      </c>
      <c r="C31" s="172">
        <v>1.25</v>
      </c>
      <c r="D31" s="119"/>
      <c r="E31" s="119" t="s">
        <v>145</v>
      </c>
      <c r="F31" s="119"/>
      <c r="L31" s="228" t="s">
        <v>150</v>
      </c>
      <c r="M31" s="228">
        <v>6</v>
      </c>
      <c r="N31" s="254">
        <f t="shared" si="0"/>
        <v>20.120351109593749</v>
      </c>
      <c r="O31" s="234">
        <f t="shared" ref="O31:O45" si="1">M31^2/4*3.1415</f>
        <v>28.273500000000002</v>
      </c>
      <c r="P31" s="253">
        <f t="shared" ref="P31:P41" si="2">M31+0.5</f>
        <v>6.5</v>
      </c>
      <c r="Q31" s="271">
        <v>5.35</v>
      </c>
      <c r="R31" s="271">
        <v>4.7729999999999997</v>
      </c>
    </row>
    <row r="32" spans="2:33" ht="14.25" customHeight="1" x14ac:dyDescent="0.35">
      <c r="B32" s="131" t="s">
        <v>142</v>
      </c>
      <c r="C32" s="229">
        <f>C27*C28*C29*C30/C31</f>
        <v>11598.362866674999</v>
      </c>
      <c r="D32" s="119" t="s">
        <v>92</v>
      </c>
      <c r="E32" s="119" t="s">
        <v>202</v>
      </c>
      <c r="F32" s="119"/>
      <c r="L32" s="228" t="s">
        <v>151</v>
      </c>
      <c r="M32" s="228">
        <v>8</v>
      </c>
      <c r="N32" s="254">
        <f t="shared" si="0"/>
        <v>36.604702238374998</v>
      </c>
      <c r="O32" s="234">
        <f t="shared" si="1"/>
        <v>50.264000000000003</v>
      </c>
      <c r="P32" s="253">
        <f t="shared" si="2"/>
        <v>8.5</v>
      </c>
      <c r="Q32" s="271">
        <v>7.1879999999999997</v>
      </c>
      <c r="R32" s="271">
        <v>6.4660000000000002</v>
      </c>
    </row>
    <row r="33" spans="2:18" ht="14.25" customHeight="1" x14ac:dyDescent="0.25">
      <c r="C33" s="238">
        <f>C14/C32</f>
        <v>0.84520002307807895</v>
      </c>
      <c r="E33" s="119" t="s">
        <v>281</v>
      </c>
      <c r="L33" s="228" t="s">
        <v>152</v>
      </c>
      <c r="M33" s="228">
        <v>10</v>
      </c>
      <c r="N33" s="254">
        <f t="shared" si="0"/>
        <v>57.991814333374997</v>
      </c>
      <c r="O33" s="234">
        <f t="shared" si="1"/>
        <v>78.537500000000009</v>
      </c>
      <c r="P33" s="253">
        <f t="shared" si="2"/>
        <v>10.5</v>
      </c>
      <c r="Q33" s="271">
        <v>9.0259999999999998</v>
      </c>
      <c r="R33" s="271">
        <v>8.16</v>
      </c>
    </row>
    <row r="34" spans="2:18" ht="14.25" customHeight="1" x14ac:dyDescent="0.25">
      <c r="C34" s="222" t="str">
        <f>IF(C32&gt;C14,"O.K.","NOT OK")</f>
        <v>O.K.</v>
      </c>
      <c r="L34" s="228" t="s">
        <v>153</v>
      </c>
      <c r="M34" s="228">
        <v>12</v>
      </c>
      <c r="N34" s="254">
        <f t="shared" si="0"/>
        <v>84.261441801500013</v>
      </c>
      <c r="O34" s="234">
        <f t="shared" si="1"/>
        <v>113.09400000000001</v>
      </c>
      <c r="P34" s="253">
        <f t="shared" si="2"/>
        <v>12.5</v>
      </c>
      <c r="Q34" s="271">
        <v>10.863</v>
      </c>
      <c r="R34" s="271">
        <v>9.8529999999999998</v>
      </c>
    </row>
    <row r="35" spans="2:18" ht="14.25" customHeight="1" x14ac:dyDescent="0.25">
      <c r="L35" s="228" t="s">
        <v>154</v>
      </c>
      <c r="M35" s="228">
        <v>14</v>
      </c>
      <c r="N35" s="254">
        <f t="shared" si="0"/>
        <v>115.43383023584376</v>
      </c>
      <c r="O35" s="234">
        <f t="shared" si="1"/>
        <v>153.93350000000001</v>
      </c>
      <c r="P35" s="253">
        <f t="shared" si="2"/>
        <v>14.5</v>
      </c>
      <c r="Q35" s="271">
        <v>12.701000000000001</v>
      </c>
      <c r="R35" s="271">
        <f>11.546</f>
        <v>11.545999999999999</v>
      </c>
    </row>
    <row r="36" spans="2:18" ht="14.25" customHeight="1" x14ac:dyDescent="0.25">
      <c r="B36" s="134" t="s">
        <v>112</v>
      </c>
      <c r="L36" s="228" t="s">
        <v>155</v>
      </c>
      <c r="M36" s="228">
        <v>16</v>
      </c>
      <c r="N36" s="254">
        <f t="shared" si="0"/>
        <v>156.66130548584377</v>
      </c>
      <c r="O36" s="234">
        <f t="shared" si="1"/>
        <v>201.05600000000001</v>
      </c>
      <c r="P36" s="253">
        <f t="shared" si="2"/>
        <v>16.5</v>
      </c>
      <c r="Q36" s="271">
        <v>14.701000000000001</v>
      </c>
      <c r="R36" s="271">
        <v>13.545999999999999</v>
      </c>
    </row>
    <row r="37" spans="2:18" ht="17.25" customHeight="1" x14ac:dyDescent="0.25">
      <c r="B37" s="281" t="s">
        <v>222</v>
      </c>
      <c r="C37" s="118">
        <v>1</v>
      </c>
      <c r="L37" s="228" t="s">
        <v>156</v>
      </c>
      <c r="M37" s="228">
        <v>18</v>
      </c>
      <c r="N37" s="254">
        <f t="shared" si="0"/>
        <v>192.46664441009378</v>
      </c>
      <c r="O37" s="234">
        <f t="shared" si="1"/>
        <v>254.4615</v>
      </c>
      <c r="P37" s="253">
        <f t="shared" si="2"/>
        <v>18.5</v>
      </c>
      <c r="Q37" s="271">
        <v>16.376000000000001</v>
      </c>
      <c r="R37" s="271">
        <v>14.933</v>
      </c>
    </row>
    <row r="38" spans="2:18" ht="17.25" customHeight="1" x14ac:dyDescent="0.25">
      <c r="B38" s="108"/>
      <c r="C38" s="118">
        <v>1</v>
      </c>
      <c r="D38" s="119"/>
      <c r="E38" s="224" t="s">
        <v>207</v>
      </c>
      <c r="L38" s="228" t="s">
        <v>157</v>
      </c>
      <c r="M38" s="228">
        <v>20</v>
      </c>
      <c r="N38" s="254">
        <f t="shared" si="0"/>
        <v>244.78675616009372</v>
      </c>
      <c r="O38" s="234">
        <f t="shared" si="1"/>
        <v>314.15000000000003</v>
      </c>
      <c r="P38" s="253">
        <f t="shared" si="2"/>
        <v>20.5</v>
      </c>
      <c r="Q38" s="271">
        <v>18.376000000000001</v>
      </c>
      <c r="R38" s="271">
        <v>16.933</v>
      </c>
    </row>
    <row r="39" spans="2:18" ht="14.25" customHeight="1" x14ac:dyDescent="0.35">
      <c r="B39" s="226" t="s">
        <v>59</v>
      </c>
      <c r="C39" s="172">
        <f>MIN(2.8*C51/C41-1.7,2.5)</f>
        <v>2.5</v>
      </c>
      <c r="D39" s="119"/>
      <c r="E39" s="119" t="s">
        <v>117</v>
      </c>
      <c r="F39" s="119"/>
      <c r="L39" s="228" t="s">
        <v>158</v>
      </c>
      <c r="M39" s="228">
        <v>22</v>
      </c>
      <c r="N39" s="254">
        <f t="shared" si="0"/>
        <v>303.3898679100937</v>
      </c>
      <c r="O39" s="234">
        <f t="shared" si="1"/>
        <v>380.12150000000003</v>
      </c>
      <c r="P39" s="253">
        <f t="shared" si="2"/>
        <v>22.5</v>
      </c>
      <c r="Q39" s="271">
        <v>20.376000000000001</v>
      </c>
      <c r="R39" s="271">
        <v>18.933</v>
      </c>
    </row>
    <row r="40" spans="2:18" ht="14.25" customHeight="1" x14ac:dyDescent="0.35">
      <c r="B40" s="226" t="s">
        <v>292</v>
      </c>
      <c r="C40" s="172">
        <f>IF(C38=1,C22,INDEX($L$30:$P$45,$C$17,2))</f>
        <v>12</v>
      </c>
      <c r="D40" s="119" t="s">
        <v>52</v>
      </c>
      <c r="E40" s="119" t="s">
        <v>195</v>
      </c>
      <c r="F40" s="119"/>
      <c r="L40" s="228" t="s">
        <v>159</v>
      </c>
      <c r="M40" s="228">
        <v>24</v>
      </c>
      <c r="N40" s="254">
        <f t="shared" si="0"/>
        <v>352.47961820937502</v>
      </c>
      <c r="O40" s="234">
        <f t="shared" si="1"/>
        <v>452.37600000000003</v>
      </c>
      <c r="P40" s="253">
        <f t="shared" si="2"/>
        <v>24.5</v>
      </c>
      <c r="Q40" s="271">
        <v>22.050999999999998</v>
      </c>
      <c r="R40" s="271">
        <v>20.318999999999999</v>
      </c>
    </row>
    <row r="41" spans="2:18" ht="14.25" customHeight="1" x14ac:dyDescent="0.35">
      <c r="B41" s="226" t="s">
        <v>293</v>
      </c>
      <c r="C41" s="282">
        <f>IF(C38=1,C23,INDEX($L$30:$P$45,$C$17,5))</f>
        <v>12.5</v>
      </c>
      <c r="D41" s="119" t="s">
        <v>52</v>
      </c>
      <c r="E41" s="119" t="s">
        <v>416</v>
      </c>
      <c r="F41" s="119"/>
      <c r="L41" s="228" t="s">
        <v>160</v>
      </c>
      <c r="M41" s="228">
        <v>27</v>
      </c>
      <c r="N41" s="254">
        <f t="shared" si="0"/>
        <v>459.37700945937502</v>
      </c>
      <c r="O41" s="234">
        <f t="shared" si="1"/>
        <v>572.53837500000009</v>
      </c>
      <c r="P41" s="253">
        <f t="shared" si="2"/>
        <v>27.5</v>
      </c>
      <c r="Q41" s="271">
        <v>25.050999999999998</v>
      </c>
      <c r="R41" s="271">
        <v>23.318999999999999</v>
      </c>
    </row>
    <row r="42" spans="2:18" ht="17.25" customHeight="1" x14ac:dyDescent="0.25">
      <c r="B42" s="108"/>
      <c r="C42" s="118"/>
      <c r="L42" s="228" t="s">
        <v>161</v>
      </c>
      <c r="M42" s="228">
        <v>30</v>
      </c>
      <c r="N42" s="254">
        <f t="shared" si="0"/>
        <v>560.57819148084377</v>
      </c>
      <c r="O42" s="234">
        <f t="shared" si="1"/>
        <v>706.83750000000009</v>
      </c>
      <c r="P42" s="253">
        <f>M42+1</f>
        <v>31</v>
      </c>
      <c r="Q42" s="271">
        <v>27.727</v>
      </c>
      <c r="R42" s="271">
        <v>25.706</v>
      </c>
    </row>
    <row r="43" spans="2:18" ht="14.25" customHeight="1" x14ac:dyDescent="0.35">
      <c r="B43" s="131" t="s">
        <v>124</v>
      </c>
      <c r="C43" s="175">
        <v>7</v>
      </c>
      <c r="D43" s="119" t="s">
        <v>52</v>
      </c>
      <c r="E43" s="119" t="s">
        <v>250</v>
      </c>
      <c r="F43" s="119"/>
      <c r="L43" s="228" t="s">
        <v>162</v>
      </c>
      <c r="M43" s="228">
        <v>33</v>
      </c>
      <c r="N43" s="254">
        <f t="shared" si="0"/>
        <v>693.54139360584384</v>
      </c>
      <c r="O43" s="234">
        <f t="shared" si="1"/>
        <v>855.2733750000001</v>
      </c>
      <c r="P43" s="253">
        <f>M43+1</f>
        <v>34</v>
      </c>
      <c r="Q43" s="271">
        <v>30.727</v>
      </c>
      <c r="R43" s="271">
        <v>28.706</v>
      </c>
    </row>
    <row r="44" spans="2:18" ht="14.25" customHeight="1" x14ac:dyDescent="0.35">
      <c r="B44" s="226" t="s">
        <v>127</v>
      </c>
      <c r="C44" s="225">
        <f>MIN(C50/3/C40,1,C47/C46)</f>
        <v>1</v>
      </c>
      <c r="D44" s="119"/>
      <c r="E44" s="119" t="s">
        <v>128</v>
      </c>
      <c r="F44" s="119"/>
      <c r="G44" s="119"/>
      <c r="L44" s="228" t="s">
        <v>163</v>
      </c>
      <c r="M44" s="228">
        <v>36</v>
      </c>
      <c r="N44" s="254">
        <f t="shared" si="0"/>
        <v>816.71244912734392</v>
      </c>
      <c r="O44" s="234">
        <f t="shared" si="1"/>
        <v>1017.846</v>
      </c>
      <c r="P44" s="253">
        <f>M44+1</f>
        <v>37</v>
      </c>
      <c r="Q44" s="271">
        <v>33.402000000000001</v>
      </c>
      <c r="R44" s="271">
        <v>31.093</v>
      </c>
    </row>
    <row r="45" spans="2:18" ht="14.25" customHeight="1" x14ac:dyDescent="0.35">
      <c r="B45" s="122" t="s">
        <v>286</v>
      </c>
      <c r="C45" s="172">
        <v>1.25</v>
      </c>
      <c r="D45" s="119"/>
      <c r="E45" s="119" t="s">
        <v>130</v>
      </c>
      <c r="F45" s="119"/>
      <c r="L45" s="228" t="s">
        <v>164</v>
      </c>
      <c r="M45" s="228">
        <v>39</v>
      </c>
      <c r="N45" s="254">
        <f t="shared" si="0"/>
        <v>975.73910600234387</v>
      </c>
      <c r="O45" s="234">
        <f t="shared" si="1"/>
        <v>1194.5553750000001</v>
      </c>
      <c r="P45" s="253">
        <f>M45+1</f>
        <v>40</v>
      </c>
      <c r="Q45" s="271">
        <v>36.402000000000001</v>
      </c>
      <c r="R45" s="271">
        <v>34.093000000000004</v>
      </c>
    </row>
    <row r="46" spans="2:18" ht="14.25" customHeight="1" x14ac:dyDescent="0.35">
      <c r="B46" s="230" t="s">
        <v>285</v>
      </c>
      <c r="C46" s="232">
        <f>INDEX($W$21:$AF$28,$C$37,10)</f>
        <v>195</v>
      </c>
      <c r="D46" s="120" t="s">
        <v>51</v>
      </c>
      <c r="E46" s="119" t="s">
        <v>132</v>
      </c>
      <c r="F46" s="119"/>
      <c r="L46" s="188" t="s">
        <v>247</v>
      </c>
    </row>
    <row r="47" spans="2:18" ht="14.25" customHeight="1" x14ac:dyDescent="0.35">
      <c r="B47" s="226" t="s">
        <v>133</v>
      </c>
      <c r="C47" s="172">
        <f>INDEX($N$17:$S$24,$C$18,4)</f>
        <v>500</v>
      </c>
      <c r="D47" s="119" t="s">
        <v>51</v>
      </c>
      <c r="E47" s="119" t="s">
        <v>134</v>
      </c>
      <c r="F47" s="119"/>
      <c r="L47" s="188" t="s">
        <v>248</v>
      </c>
      <c r="M47" s="252"/>
    </row>
    <row r="48" spans="2:18" ht="14.25" customHeight="1" x14ac:dyDescent="0.35">
      <c r="B48" s="226" t="s">
        <v>252</v>
      </c>
      <c r="C48" s="227">
        <f>C41*2</f>
        <v>25</v>
      </c>
      <c r="D48" s="119" t="s">
        <v>52</v>
      </c>
      <c r="E48" s="119" t="s">
        <v>197</v>
      </c>
      <c r="F48" s="119"/>
      <c r="L48" s="188"/>
      <c r="M48" s="252"/>
    </row>
    <row r="49" spans="2:14" ht="14.25" customHeight="1" x14ac:dyDescent="0.35">
      <c r="B49" s="226" t="s">
        <v>253</v>
      </c>
      <c r="C49" s="227">
        <f>1.5*C41</f>
        <v>18.75</v>
      </c>
      <c r="D49" s="119" t="s">
        <v>52</v>
      </c>
      <c r="E49" s="119" t="s">
        <v>196</v>
      </c>
      <c r="F49" s="119"/>
      <c r="L49" s="188"/>
      <c r="M49" s="252"/>
    </row>
    <row r="50" spans="2:14" ht="14.25" customHeight="1" x14ac:dyDescent="0.35">
      <c r="B50" s="226" t="s">
        <v>288</v>
      </c>
      <c r="C50" s="280">
        <v>100</v>
      </c>
      <c r="D50" s="119" t="s">
        <v>52</v>
      </c>
      <c r="E50" s="119" t="s">
        <v>254</v>
      </c>
      <c r="F50" s="119"/>
      <c r="N50" s="172"/>
    </row>
    <row r="51" spans="2:14" ht="14.25" customHeight="1" x14ac:dyDescent="0.35">
      <c r="B51" s="226" t="s">
        <v>289</v>
      </c>
      <c r="C51" s="280">
        <v>30</v>
      </c>
      <c r="D51" s="119" t="s">
        <v>52</v>
      </c>
      <c r="E51" s="119" t="s">
        <v>255</v>
      </c>
      <c r="F51" s="119"/>
      <c r="N51" s="225"/>
    </row>
    <row r="52" spans="2:14" ht="14.25" customHeight="1" x14ac:dyDescent="0.35">
      <c r="B52" s="131" t="s">
        <v>114</v>
      </c>
      <c r="C52" s="229">
        <f>C39*C44*C46*C40*C43/C45</f>
        <v>32760</v>
      </c>
      <c r="D52" s="119" t="s">
        <v>92</v>
      </c>
      <c r="E52" s="119" t="s">
        <v>314</v>
      </c>
      <c r="N52" s="225"/>
    </row>
    <row r="53" spans="2:14" ht="14.25" customHeight="1" x14ac:dyDescent="0.25">
      <c r="C53" s="238">
        <f>C14/C52</f>
        <v>0.29923493780774246</v>
      </c>
      <c r="E53" s="119" t="s">
        <v>257</v>
      </c>
      <c r="M53" s="188"/>
      <c r="N53" s="225"/>
    </row>
    <row r="54" spans="2:14" ht="14.25" customHeight="1" x14ac:dyDescent="0.35">
      <c r="C54" s="231" t="str">
        <f>IF(C52&gt;C14,"O.K.","NOT OK")</f>
        <v>O.K.</v>
      </c>
      <c r="E54" s="258" t="s">
        <v>373</v>
      </c>
    </row>
    <row r="55" spans="2:14" ht="14.25" customHeight="1" x14ac:dyDescent="0.25"/>
    <row r="56" spans="2:14" ht="14.25" customHeight="1" x14ac:dyDescent="0.25">
      <c r="B56" s="134" t="s">
        <v>136</v>
      </c>
    </row>
    <row r="57" spans="2:14" ht="17.25" customHeight="1" x14ac:dyDescent="0.25">
      <c r="B57" s="281" t="s">
        <v>222</v>
      </c>
      <c r="C57" s="118">
        <v>1</v>
      </c>
    </row>
    <row r="58" spans="2:14" ht="17.25" customHeight="1" x14ac:dyDescent="0.25">
      <c r="B58" s="108"/>
      <c r="C58" s="118">
        <v>1</v>
      </c>
      <c r="E58" s="224" t="s">
        <v>207</v>
      </c>
    </row>
    <row r="59" spans="2:14" ht="14.25" customHeight="1" x14ac:dyDescent="0.35">
      <c r="B59" s="226" t="s">
        <v>59</v>
      </c>
      <c r="C59" s="172">
        <f>MIN(2.8*C73/C61-1.7,2.5)</f>
        <v>2.5</v>
      </c>
      <c r="E59" s="119" t="s">
        <v>261</v>
      </c>
      <c r="F59" s="119"/>
    </row>
    <row r="60" spans="2:14" ht="14.25" customHeight="1" x14ac:dyDescent="0.35">
      <c r="B60" s="226" t="s">
        <v>295</v>
      </c>
      <c r="C60" s="172">
        <f>IF(C58=1,C22,INDEX($L$30:$P$45,$C$17,2))</f>
        <v>12</v>
      </c>
      <c r="D60" s="119" t="s">
        <v>52</v>
      </c>
      <c r="E60" s="119" t="s">
        <v>195</v>
      </c>
      <c r="F60" s="119"/>
    </row>
    <row r="61" spans="2:14" ht="14.25" customHeight="1" x14ac:dyDescent="0.35">
      <c r="B61" s="226" t="s">
        <v>294</v>
      </c>
      <c r="C61" s="222">
        <f>IF(C58=1,C23,INDEX($L$30:$P$45,$C$17,5))</f>
        <v>12.5</v>
      </c>
      <c r="D61" s="119" t="s">
        <v>52</v>
      </c>
      <c r="E61" s="119" t="s">
        <v>378</v>
      </c>
      <c r="F61" s="119"/>
    </row>
    <row r="62" spans="2:14" ht="14.25" customHeight="1" x14ac:dyDescent="0.35">
      <c r="B62" s="226" t="s">
        <v>269</v>
      </c>
      <c r="C62" s="221">
        <v>5</v>
      </c>
      <c r="D62" s="119" t="s">
        <v>52</v>
      </c>
      <c r="E62" s="119" t="s">
        <v>287</v>
      </c>
      <c r="F62" s="119"/>
    </row>
    <row r="63" spans="2:14" ht="14.25" customHeight="1" x14ac:dyDescent="0.35">
      <c r="B63" s="226" t="s">
        <v>127</v>
      </c>
      <c r="C63" s="172">
        <f>MIN(C68/3/C61,1,C66/C65)</f>
        <v>1</v>
      </c>
      <c r="E63" s="119" t="s">
        <v>262</v>
      </c>
      <c r="F63" s="119"/>
      <c r="G63" s="119"/>
    </row>
    <row r="64" spans="2:14" ht="14.25" customHeight="1" x14ac:dyDescent="0.35">
      <c r="B64" s="122" t="s">
        <v>139</v>
      </c>
      <c r="C64" s="172">
        <v>1.25</v>
      </c>
      <c r="E64" s="119" t="s">
        <v>130</v>
      </c>
      <c r="F64" s="119"/>
    </row>
    <row r="65" spans="1:12" ht="14.25" customHeight="1" x14ac:dyDescent="0.35">
      <c r="B65" s="226" t="s">
        <v>284</v>
      </c>
      <c r="C65" s="172">
        <f>INDEX($W$21:$AF$28,$C$57,10)</f>
        <v>195</v>
      </c>
      <c r="E65" s="119" t="s">
        <v>140</v>
      </c>
      <c r="F65" s="119"/>
    </row>
    <row r="66" spans="1:12" ht="14.25" customHeight="1" x14ac:dyDescent="0.35">
      <c r="B66" s="226" t="s">
        <v>133</v>
      </c>
      <c r="C66" s="172">
        <f>INDEX($N$17:$S$24,$C$18,4)</f>
        <v>500</v>
      </c>
      <c r="E66" s="119" t="s">
        <v>134</v>
      </c>
      <c r="F66" s="119"/>
      <c r="L66" s="119" t="s">
        <v>415</v>
      </c>
    </row>
    <row r="67" spans="1:12" ht="14.25" customHeight="1" x14ac:dyDescent="0.35">
      <c r="B67" s="226" t="s">
        <v>252</v>
      </c>
      <c r="C67" s="222">
        <f>C61*2</f>
        <v>25</v>
      </c>
      <c r="D67" s="119" t="s">
        <v>52</v>
      </c>
      <c r="E67" s="119" t="s">
        <v>197</v>
      </c>
      <c r="F67" s="119"/>
    </row>
    <row r="68" spans="1:12" ht="14.25" customHeight="1" x14ac:dyDescent="0.35">
      <c r="B68" s="226" t="s">
        <v>135</v>
      </c>
      <c r="C68" s="280">
        <v>50</v>
      </c>
      <c r="D68" s="119" t="s">
        <v>52</v>
      </c>
      <c r="E68" s="119" t="s">
        <v>254</v>
      </c>
      <c r="F68" s="119"/>
    </row>
    <row r="69" spans="1:12" ht="14.25" customHeight="1" x14ac:dyDescent="0.35">
      <c r="B69" s="226" t="s">
        <v>379</v>
      </c>
      <c r="C69" s="257">
        <f>C68</f>
        <v>50</v>
      </c>
      <c r="D69" s="119"/>
      <c r="E69" s="119" t="s">
        <v>263</v>
      </c>
      <c r="F69" s="119"/>
      <c r="H69" s="119" t="s">
        <v>383</v>
      </c>
    </row>
    <row r="70" spans="1:12" ht="14.25" customHeight="1" x14ac:dyDescent="0.35">
      <c r="B70" s="226" t="s">
        <v>253</v>
      </c>
      <c r="C70" s="227">
        <f>C61*1.5</f>
        <v>18.75</v>
      </c>
      <c r="D70" s="119" t="s">
        <v>52</v>
      </c>
      <c r="E70" s="119" t="s">
        <v>196</v>
      </c>
      <c r="F70" s="119"/>
    </row>
    <row r="71" spans="1:12" ht="14.25" customHeight="1" x14ac:dyDescent="0.35">
      <c r="B71" s="226" t="s">
        <v>380</v>
      </c>
      <c r="C71" s="219">
        <v>60</v>
      </c>
      <c r="D71" s="119" t="s">
        <v>52</v>
      </c>
      <c r="E71" s="119" t="s">
        <v>260</v>
      </c>
      <c r="F71" s="119"/>
    </row>
    <row r="72" spans="1:12" ht="14.25" customHeight="1" x14ac:dyDescent="0.35">
      <c r="B72" s="226" t="s">
        <v>381</v>
      </c>
      <c r="C72" s="219">
        <v>140</v>
      </c>
      <c r="D72" s="119" t="s">
        <v>52</v>
      </c>
      <c r="E72" s="119" t="s">
        <v>259</v>
      </c>
      <c r="F72" s="119"/>
    </row>
    <row r="73" spans="1:12" ht="14.25" customHeight="1" x14ac:dyDescent="0.35">
      <c r="B73" s="226" t="s">
        <v>382</v>
      </c>
      <c r="C73" s="257">
        <f>MIN(C71,C72)</f>
        <v>60</v>
      </c>
      <c r="D73" s="119" t="s">
        <v>52</v>
      </c>
      <c r="E73" s="119" t="s">
        <v>255</v>
      </c>
      <c r="F73" s="119"/>
      <c r="H73" s="119" t="s">
        <v>377</v>
      </c>
    </row>
    <row r="74" spans="1:12" ht="15.6" x14ac:dyDescent="0.35">
      <c r="B74" s="131" t="s">
        <v>114</v>
      </c>
      <c r="C74" s="229">
        <f>C59*C63*C65*C60*C62/C64</f>
        <v>23400</v>
      </c>
      <c r="D74" s="169" t="s">
        <v>92</v>
      </c>
      <c r="E74" s="119" t="s">
        <v>315</v>
      </c>
    </row>
    <row r="75" spans="1:12" x14ac:dyDescent="0.25">
      <c r="C75" s="238">
        <f>C14/C74</f>
        <v>0.41892891293083945</v>
      </c>
      <c r="E75" s="119" t="s">
        <v>256</v>
      </c>
    </row>
    <row r="76" spans="1:12" x14ac:dyDescent="0.25">
      <c r="C76" s="222" t="str">
        <f>IF(C74&gt;C14,"O.K.","NOT OK")</f>
        <v>O.K.</v>
      </c>
      <c r="D76" s="233"/>
    </row>
    <row r="77" spans="1:12" x14ac:dyDescent="0.25">
      <c r="D77" s="242"/>
    </row>
    <row r="78" spans="1:12" x14ac:dyDescent="0.25">
      <c r="A78" s="126"/>
      <c r="B78" s="134" t="s">
        <v>275</v>
      </c>
    </row>
    <row r="79" spans="1:12" ht="18" x14ac:dyDescent="0.35">
      <c r="A79" s="126"/>
      <c r="B79" s="112" t="s">
        <v>53</v>
      </c>
      <c r="C79" s="168">
        <f>INDEX($W$21:$AF$28,$C$57,6)</f>
        <v>136.36363636363635</v>
      </c>
      <c r="D79" s="120" t="s">
        <v>51</v>
      </c>
      <c r="E79" s="119" t="s">
        <v>282</v>
      </c>
      <c r="F79" s="119"/>
      <c r="G79" s="119"/>
    </row>
    <row r="80" spans="1:12" ht="19.2" x14ac:dyDescent="0.45">
      <c r="A80" s="126"/>
      <c r="B80" s="226" t="s">
        <v>413</v>
      </c>
      <c r="C80" s="170">
        <f>C79/(3^0.5)</f>
        <v>78.729582162221689</v>
      </c>
      <c r="D80" s="120" t="s">
        <v>51</v>
      </c>
      <c r="E80" s="119" t="s">
        <v>410</v>
      </c>
      <c r="F80" s="119"/>
      <c r="G80" s="119"/>
      <c r="H80" s="270" t="s">
        <v>412</v>
      </c>
    </row>
    <row r="81" spans="1:18" ht="15.6" x14ac:dyDescent="0.35">
      <c r="A81" s="126"/>
      <c r="B81" s="226" t="s">
        <v>267</v>
      </c>
      <c r="C81" s="117">
        <f>C71+C72</f>
        <v>200</v>
      </c>
      <c r="D81" s="255" t="s">
        <v>52</v>
      </c>
      <c r="E81" s="119" t="s">
        <v>258</v>
      </c>
      <c r="F81" s="119"/>
      <c r="G81" s="256" t="str">
        <f>IF(C10=0,IF(C81&lt;2*(C58+1)+2.5*(C58+1)*C17+2*(C58+1)*(C17-1),"min hoogte "&amp;2*(C58+1)+2.5*(C58+1)*C17+2*(C58+1)*(C17-1)," "),IF(C81&lt;(2+C17)*C59,"min hoogte "&amp;(2+C17)*C59," "))</f>
        <v xml:space="preserve"> </v>
      </c>
    </row>
    <row r="82" spans="1:18" ht="15.6" x14ac:dyDescent="0.35">
      <c r="A82" s="126"/>
      <c r="B82" s="131" t="s">
        <v>290</v>
      </c>
      <c r="C82" s="175">
        <v>40</v>
      </c>
      <c r="D82" s="119" t="s">
        <v>52</v>
      </c>
      <c r="E82" s="119" t="s">
        <v>264</v>
      </c>
      <c r="F82" s="119"/>
      <c r="G82" s="119"/>
      <c r="L82" s="119"/>
      <c r="M82" s="119"/>
      <c r="N82" s="119"/>
      <c r="O82" s="119"/>
      <c r="P82" s="119"/>
      <c r="Q82" s="119"/>
      <c r="R82" s="119"/>
    </row>
    <row r="83" spans="1:18" ht="15.6" x14ac:dyDescent="0.35">
      <c r="A83" s="126"/>
      <c r="B83" s="131" t="s">
        <v>268</v>
      </c>
      <c r="C83" s="262">
        <f>C81*C62</f>
        <v>1000</v>
      </c>
      <c r="D83" s="119" t="s">
        <v>211</v>
      </c>
      <c r="E83" s="119" t="s">
        <v>270</v>
      </c>
      <c r="F83" s="119"/>
      <c r="G83" s="119"/>
      <c r="H83" s="119" t="s">
        <v>376</v>
      </c>
      <c r="L83" s="119"/>
      <c r="M83" s="119"/>
      <c r="N83" s="119"/>
      <c r="O83" s="119"/>
      <c r="P83" s="119"/>
      <c r="Q83" s="119"/>
      <c r="R83" s="119"/>
    </row>
    <row r="84" spans="1:18" ht="15.6" x14ac:dyDescent="0.35">
      <c r="A84" s="126"/>
      <c r="B84" s="131" t="s">
        <v>274</v>
      </c>
      <c r="C84" s="166">
        <f>C81^2*C62/6/1000</f>
        <v>33.333333333333336</v>
      </c>
      <c r="D84" s="119" t="s">
        <v>265</v>
      </c>
      <c r="E84" s="119" t="s">
        <v>266</v>
      </c>
      <c r="F84" s="119"/>
      <c r="G84" s="119"/>
      <c r="I84" s="119" t="s">
        <v>271</v>
      </c>
      <c r="L84" s="119"/>
      <c r="M84" s="119"/>
      <c r="N84" s="119"/>
      <c r="O84" s="119"/>
      <c r="P84" s="119"/>
      <c r="Q84" s="119"/>
      <c r="R84" s="119"/>
    </row>
    <row r="85" spans="1:18" ht="15.6" x14ac:dyDescent="0.35">
      <c r="A85" s="126"/>
      <c r="B85" s="131" t="s">
        <v>272</v>
      </c>
      <c r="C85" s="260">
        <f>C12*C82/2/1000</f>
        <v>180.12</v>
      </c>
      <c r="D85" s="119" t="s">
        <v>280</v>
      </c>
      <c r="E85" s="119" t="s">
        <v>273</v>
      </c>
      <c r="F85" s="119" t="s">
        <v>291</v>
      </c>
      <c r="G85" s="119"/>
      <c r="I85" s="119"/>
      <c r="L85" s="119"/>
      <c r="M85" s="119"/>
      <c r="N85" s="119"/>
      <c r="O85" s="119"/>
      <c r="P85" s="119"/>
      <c r="Q85" s="119"/>
      <c r="R85" s="119"/>
    </row>
    <row r="86" spans="1:18" ht="15.6" x14ac:dyDescent="0.35">
      <c r="A86" s="126"/>
      <c r="B86" s="131" t="s">
        <v>407</v>
      </c>
      <c r="C86" s="259">
        <f>C85*1000/(C84*1000)+MAX(ABS(C8),ABS(C9))/2/C83</f>
        <v>14.1111</v>
      </c>
      <c r="D86" s="119" t="s">
        <v>51</v>
      </c>
      <c r="E86" s="119" t="s">
        <v>243</v>
      </c>
      <c r="F86" s="258" t="s">
        <v>385</v>
      </c>
      <c r="G86" s="119"/>
      <c r="I86" s="261"/>
      <c r="L86" s="119"/>
      <c r="M86" s="119"/>
      <c r="N86" s="119"/>
      <c r="O86" s="119"/>
      <c r="P86" s="119"/>
      <c r="Q86" s="119"/>
      <c r="R86" s="119"/>
    </row>
    <row r="87" spans="1:18" ht="16.2" x14ac:dyDescent="0.35">
      <c r="A87" s="126"/>
      <c r="B87" s="119"/>
      <c r="C87" s="222" t="str">
        <f>IF(C86&lt;C79,"O.K.","NOT OK")</f>
        <v>O.K.</v>
      </c>
      <c r="D87" s="119"/>
      <c r="E87" s="110" t="s">
        <v>408</v>
      </c>
      <c r="F87" s="119"/>
      <c r="G87" s="119"/>
      <c r="L87" s="119"/>
      <c r="M87" s="119"/>
      <c r="N87" s="119"/>
      <c r="O87" s="119"/>
      <c r="P87" s="119"/>
      <c r="Q87" s="119"/>
      <c r="R87" s="119"/>
    </row>
    <row r="88" spans="1:18" x14ac:dyDescent="0.25">
      <c r="A88" s="126"/>
      <c r="B88" s="119"/>
      <c r="C88" s="119"/>
      <c r="D88" s="119"/>
      <c r="E88" s="119"/>
      <c r="F88" s="119"/>
      <c r="G88" s="119"/>
      <c r="L88" s="119"/>
      <c r="M88" s="119"/>
      <c r="N88" s="119"/>
      <c r="O88" s="119"/>
      <c r="P88" s="119"/>
      <c r="Q88" s="119"/>
      <c r="R88" s="119"/>
    </row>
    <row r="89" spans="1:18" x14ac:dyDescent="0.25">
      <c r="A89" s="126"/>
      <c r="B89" s="134" t="s">
        <v>296</v>
      </c>
      <c r="L89" s="119"/>
      <c r="M89" s="119"/>
      <c r="N89" s="119"/>
      <c r="O89" s="119"/>
      <c r="P89" s="119"/>
      <c r="Q89" s="119"/>
      <c r="R89" s="119"/>
    </row>
    <row r="90" spans="1:18" ht="15.6" x14ac:dyDescent="0.35">
      <c r="A90" s="264"/>
      <c r="B90" s="226" t="s">
        <v>321</v>
      </c>
      <c r="C90" s="221">
        <v>10</v>
      </c>
      <c r="D90" s="119" t="s">
        <v>52</v>
      </c>
      <c r="E90" s="119" t="s">
        <v>323</v>
      </c>
      <c r="F90" s="119"/>
      <c r="I90" s="273"/>
      <c r="P90" s="168" t="s">
        <v>148</v>
      </c>
    </row>
    <row r="91" spans="1:18" ht="15.6" x14ac:dyDescent="0.35">
      <c r="A91" s="264"/>
      <c r="B91" s="226" t="s">
        <v>322</v>
      </c>
      <c r="C91" s="221">
        <v>10</v>
      </c>
      <c r="D91" s="119" t="s">
        <v>52</v>
      </c>
      <c r="E91" s="119" t="s">
        <v>324</v>
      </c>
      <c r="F91" s="119"/>
      <c r="P91" s="168"/>
    </row>
    <row r="92" spans="1:18" ht="15.6" x14ac:dyDescent="0.35">
      <c r="A92" s="264"/>
      <c r="B92" s="226" t="s">
        <v>90</v>
      </c>
      <c r="C92" s="221">
        <v>38</v>
      </c>
      <c r="D92" s="119" t="s">
        <v>52</v>
      </c>
      <c r="E92" s="119" t="s">
        <v>311</v>
      </c>
      <c r="F92" s="119"/>
      <c r="P92" s="168"/>
    </row>
    <row r="93" spans="1:18" x14ac:dyDescent="0.25">
      <c r="A93" s="264"/>
      <c r="M93" s="261"/>
      <c r="P93" s="168"/>
    </row>
    <row r="94" spans="1:18" ht="15.6" x14ac:dyDescent="0.35">
      <c r="A94" s="264"/>
      <c r="B94" s="226" t="s">
        <v>302</v>
      </c>
      <c r="C94" s="221">
        <v>80</v>
      </c>
      <c r="D94" s="119" t="s">
        <v>52</v>
      </c>
      <c r="E94" s="119" t="s">
        <v>260</v>
      </c>
      <c r="F94" s="119"/>
      <c r="P94" s="168"/>
    </row>
    <row r="95" spans="1:18" ht="15.6" x14ac:dyDescent="0.35">
      <c r="A95" s="264"/>
      <c r="B95" s="226" t="s">
        <v>303</v>
      </c>
      <c r="C95" s="221">
        <v>120</v>
      </c>
      <c r="D95" s="119" t="s">
        <v>52</v>
      </c>
      <c r="E95" s="119" t="s">
        <v>259</v>
      </c>
      <c r="F95" s="119"/>
      <c r="M95" s="261"/>
      <c r="P95" s="168"/>
    </row>
    <row r="96" spans="1:18" ht="15.6" x14ac:dyDescent="0.35">
      <c r="A96" s="264"/>
      <c r="B96" s="226" t="s">
        <v>298</v>
      </c>
      <c r="C96" s="221">
        <v>140</v>
      </c>
      <c r="D96" s="119" t="s">
        <v>52</v>
      </c>
      <c r="E96" s="119" t="s">
        <v>305</v>
      </c>
      <c r="F96" s="119"/>
      <c r="H96" s="270"/>
      <c r="P96" s="168"/>
    </row>
    <row r="97" spans="1:16" ht="15.6" x14ac:dyDescent="0.35">
      <c r="A97" s="264"/>
      <c r="B97" s="226" t="s">
        <v>388</v>
      </c>
      <c r="C97" s="221">
        <v>12</v>
      </c>
      <c r="D97" s="119" t="s">
        <v>52</v>
      </c>
      <c r="E97" s="119" t="s">
        <v>389</v>
      </c>
      <c r="F97" s="119"/>
      <c r="H97" s="273"/>
      <c r="P97" s="168"/>
    </row>
    <row r="98" spans="1:16" ht="15.6" x14ac:dyDescent="0.35">
      <c r="A98" s="264"/>
      <c r="B98" s="226" t="s">
        <v>300</v>
      </c>
      <c r="C98" s="275">
        <f>C97+1</f>
        <v>13</v>
      </c>
      <c r="D98" s="119" t="s">
        <v>52</v>
      </c>
      <c r="E98" s="119" t="s">
        <v>335</v>
      </c>
      <c r="F98" s="119"/>
      <c r="H98" s="270" t="s">
        <v>375</v>
      </c>
      <c r="P98" s="168"/>
    </row>
    <row r="99" spans="1:16" ht="15.6" x14ac:dyDescent="0.35">
      <c r="A99" s="264"/>
      <c r="B99" s="220" t="s">
        <v>390</v>
      </c>
      <c r="C99" s="274">
        <f>2.5*(C98+1)</f>
        <v>35</v>
      </c>
      <c r="D99" s="119" t="s">
        <v>52</v>
      </c>
      <c r="E99" s="255" t="s">
        <v>393</v>
      </c>
      <c r="H99" s="270"/>
      <c r="P99" s="168"/>
    </row>
    <row r="100" spans="1:16" ht="15.6" x14ac:dyDescent="0.35">
      <c r="A100" s="264"/>
      <c r="B100" s="220" t="s">
        <v>397</v>
      </c>
      <c r="C100" s="221">
        <v>35</v>
      </c>
      <c r="D100" s="119" t="s">
        <v>52</v>
      </c>
      <c r="E100" s="255" t="s">
        <v>396</v>
      </c>
      <c r="H100" s="270"/>
      <c r="P100" s="168"/>
    </row>
    <row r="101" spans="1:16" ht="15.6" x14ac:dyDescent="0.35">
      <c r="A101" s="264"/>
      <c r="B101" s="226" t="s">
        <v>399</v>
      </c>
      <c r="C101" s="275">
        <f>C100/2+C97+1</f>
        <v>30.5</v>
      </c>
      <c r="D101" s="119"/>
      <c r="E101" s="119" t="s">
        <v>398</v>
      </c>
      <c r="H101" s="270"/>
      <c r="P101" s="168"/>
    </row>
    <row r="102" spans="1:16" ht="15.6" x14ac:dyDescent="0.35">
      <c r="A102" s="264"/>
      <c r="B102" s="226" t="s">
        <v>225</v>
      </c>
      <c r="C102" s="221">
        <v>19</v>
      </c>
      <c r="D102" s="119" t="s">
        <v>52</v>
      </c>
      <c r="E102" s="119" t="s">
        <v>312</v>
      </c>
      <c r="F102" s="119"/>
      <c r="P102" s="168"/>
    </row>
    <row r="103" spans="1:16" ht="15.6" x14ac:dyDescent="0.35">
      <c r="A103" s="264"/>
      <c r="B103" s="131" t="s">
        <v>297</v>
      </c>
      <c r="C103" s="170">
        <f>-(-C92+C92^2/C96)*C8/2/1000</f>
        <v>-241.07335714285713</v>
      </c>
      <c r="D103" s="119" t="s">
        <v>280</v>
      </c>
      <c r="E103" s="119" t="s">
        <v>306</v>
      </c>
      <c r="F103" s="119"/>
      <c r="G103" s="119"/>
      <c r="H103" s="176" t="s">
        <v>384</v>
      </c>
      <c r="M103" t="s">
        <v>330</v>
      </c>
    </row>
    <row r="104" spans="1:16" ht="15.6" x14ac:dyDescent="0.35">
      <c r="A104" s="264"/>
      <c r="B104" s="131" t="s">
        <v>301</v>
      </c>
      <c r="C104" s="170">
        <f>(C94+C95-C98)*C90^2/6/1000</f>
        <v>3.1166666666666667</v>
      </c>
      <c r="D104" s="119" t="s">
        <v>265</v>
      </c>
      <c r="E104" s="119" t="s">
        <v>307</v>
      </c>
      <c r="F104" s="119"/>
      <c r="G104" s="119"/>
      <c r="H104" s="176" t="s">
        <v>325</v>
      </c>
    </row>
    <row r="105" spans="1:16" ht="15.6" x14ac:dyDescent="0.35">
      <c r="A105" s="264"/>
      <c r="B105" s="131" t="s">
        <v>407</v>
      </c>
      <c r="C105" s="259">
        <f>C103/C104</f>
        <v>-77.349740259740258</v>
      </c>
      <c r="D105" s="119" t="s">
        <v>51</v>
      </c>
      <c r="E105" s="119" t="s">
        <v>243</v>
      </c>
      <c r="F105" s="119"/>
      <c r="G105" s="119"/>
      <c r="H105" s="176" t="s">
        <v>316</v>
      </c>
    </row>
    <row r="106" spans="1:16" ht="16.2" x14ac:dyDescent="0.35">
      <c r="A106" s="264"/>
      <c r="B106" s="131"/>
      <c r="C106" s="222" t="str">
        <f>IF(ABS(C105)&lt;C79,"O.K.","NOT OK")</f>
        <v>O.K.</v>
      </c>
      <c r="D106" s="119"/>
      <c r="E106" s="110" t="s">
        <v>409</v>
      </c>
      <c r="F106" s="119"/>
      <c r="G106" s="119"/>
      <c r="H106" s="176"/>
    </row>
    <row r="107" spans="1:16" ht="15.6" x14ac:dyDescent="0.35">
      <c r="A107" s="264"/>
      <c r="B107" s="131" t="s">
        <v>299</v>
      </c>
      <c r="C107" s="170">
        <f>C103-C92*C8/2/1000</f>
        <v>89.811642857142857</v>
      </c>
      <c r="D107" s="119" t="s">
        <v>280</v>
      </c>
      <c r="E107" s="119" t="s">
        <v>308</v>
      </c>
      <c r="F107" s="119"/>
      <c r="G107" s="119"/>
      <c r="H107" s="176" t="s">
        <v>363</v>
      </c>
    </row>
    <row r="108" spans="1:16" ht="15.6" x14ac:dyDescent="0.35">
      <c r="A108" s="264"/>
      <c r="B108" s="131" t="s">
        <v>304</v>
      </c>
      <c r="C108" s="170">
        <f>(C94+C95)*C90^2/6/1000</f>
        <v>3.3333333333333335</v>
      </c>
      <c r="D108" s="169" t="s">
        <v>265</v>
      </c>
      <c r="E108" s="119" t="s">
        <v>309</v>
      </c>
      <c r="H108" s="176" t="s">
        <v>327</v>
      </c>
    </row>
    <row r="109" spans="1:16" ht="15.6" x14ac:dyDescent="0.35">
      <c r="A109" s="264"/>
      <c r="B109" s="131" t="s">
        <v>407</v>
      </c>
      <c r="C109" s="259">
        <f>C107/C108</f>
        <v>26.943492857142857</v>
      </c>
      <c r="D109" s="119" t="s">
        <v>51</v>
      </c>
      <c r="E109" s="119" t="s">
        <v>243</v>
      </c>
      <c r="H109" s="176" t="s">
        <v>317</v>
      </c>
    </row>
    <row r="110" spans="1:16" ht="16.2" x14ac:dyDescent="0.35">
      <c r="A110" s="264"/>
      <c r="B110" s="131"/>
      <c r="C110" s="222" t="str">
        <f>IF(ABS(C109)&lt;C79,"O.K.","NOT OK")</f>
        <v>O.K.</v>
      </c>
      <c r="D110" s="119"/>
      <c r="E110" s="110" t="s">
        <v>408</v>
      </c>
    </row>
    <row r="111" spans="1:16" ht="15.6" x14ac:dyDescent="0.35">
      <c r="A111" s="264"/>
      <c r="B111" s="131" t="s">
        <v>326</v>
      </c>
      <c r="C111" s="170">
        <f>(C94+C95)*C91^2/6/1000</f>
        <v>3.3333333333333335</v>
      </c>
      <c r="D111" s="169" t="s">
        <v>265</v>
      </c>
      <c r="E111" s="119" t="s">
        <v>309</v>
      </c>
      <c r="H111" s="176" t="s">
        <v>328</v>
      </c>
    </row>
    <row r="112" spans="1:16" ht="15.6" x14ac:dyDescent="0.35">
      <c r="A112" s="264"/>
      <c r="B112" s="131" t="s">
        <v>407</v>
      </c>
      <c r="C112" s="259">
        <f>C107/C111</f>
        <v>26.943492857142857</v>
      </c>
      <c r="D112" s="119" t="s">
        <v>51</v>
      </c>
      <c r="E112" s="119" t="s">
        <v>243</v>
      </c>
      <c r="H112" s="176" t="s">
        <v>329</v>
      </c>
    </row>
    <row r="113" spans="1:13" ht="16.2" x14ac:dyDescent="0.35">
      <c r="A113" s="264"/>
      <c r="B113" s="131"/>
      <c r="C113" s="222" t="str">
        <f>IF(ABS(C112)&lt;C79,"O.K.","NOT OK")</f>
        <v>O.K.</v>
      </c>
      <c r="D113" s="119"/>
      <c r="E113" s="110" t="s">
        <v>408</v>
      </c>
    </row>
    <row r="114" spans="1:13" ht="20.399999999999999" x14ac:dyDescent="0.45">
      <c r="A114" s="264"/>
      <c r="B114" s="131" t="s">
        <v>406</v>
      </c>
      <c r="C114" s="269">
        <f>(-C8*(C95-(C72+C71)/2)+C12*(C82+C90))/2/1000</f>
        <v>399.3</v>
      </c>
      <c r="D114" s="119" t="s">
        <v>280</v>
      </c>
      <c r="E114" s="119" t="s">
        <v>332</v>
      </c>
      <c r="H114" s="255" t="s">
        <v>403</v>
      </c>
    </row>
    <row r="115" spans="1:13" ht="15.6" x14ac:dyDescent="0.35">
      <c r="A115" s="264"/>
      <c r="B115" s="131" t="s">
        <v>401</v>
      </c>
      <c r="C115" s="269">
        <f>C94+C95-C98</f>
        <v>187</v>
      </c>
      <c r="D115" s="119" t="s">
        <v>52</v>
      </c>
      <c r="E115" s="119" t="s">
        <v>400</v>
      </c>
      <c r="H115" s="258" t="s">
        <v>402</v>
      </c>
    </row>
    <row r="116" spans="1:13" ht="16.8" x14ac:dyDescent="0.35">
      <c r="A116" s="264"/>
      <c r="B116" s="131" t="s">
        <v>334</v>
      </c>
      <c r="C116" s="277">
        <f>(C115*C90^3/3)*(1-0.63*C90/C115+0.052*C90^5/C115^5)/1000/C90</f>
        <v>6.0233334750809169</v>
      </c>
      <c r="D116" s="119" t="s">
        <v>265</v>
      </c>
      <c r="E116" s="119" t="s">
        <v>333</v>
      </c>
      <c r="H116" s="119" t="s">
        <v>405</v>
      </c>
      <c r="M116" s="119"/>
    </row>
    <row r="117" spans="1:13" ht="16.8" x14ac:dyDescent="0.45">
      <c r="A117" s="264"/>
      <c r="B117" s="226" t="s">
        <v>411</v>
      </c>
      <c r="C117" s="276">
        <f>C114/C116</f>
        <v>66.292195451561952</v>
      </c>
      <c r="D117" s="119" t="s">
        <v>51</v>
      </c>
      <c r="E117" s="119" t="s">
        <v>243</v>
      </c>
      <c r="H117" s="255" t="s">
        <v>404</v>
      </c>
    </row>
    <row r="118" spans="1:13" ht="16.8" x14ac:dyDescent="0.45">
      <c r="A118" s="264"/>
      <c r="B118" s="226"/>
      <c r="C118" s="276" t="str">
        <f>IF(ABS(C117)&lt;C80,"O.K.","NOT OK")</f>
        <v>O.K.</v>
      </c>
      <c r="D118" s="119"/>
      <c r="E118" s="110" t="s">
        <v>414</v>
      </c>
      <c r="H118" s="255"/>
    </row>
    <row r="119" spans="1:13" x14ac:dyDescent="0.25">
      <c r="A119" s="264"/>
      <c r="B119" s="220"/>
    </row>
    <row r="120" spans="1:13" x14ac:dyDescent="0.25">
      <c r="A120" s="264"/>
      <c r="B120" s="134" t="s">
        <v>310</v>
      </c>
    </row>
    <row r="121" spans="1:13" ht="15.6" x14ac:dyDescent="0.35">
      <c r="A121" s="264"/>
      <c r="B121" s="265" t="s">
        <v>60</v>
      </c>
      <c r="C121" s="165">
        <f>(C103/C102*1000)</f>
        <v>-12688.071428571428</v>
      </c>
      <c r="D121" s="119" t="s">
        <v>92</v>
      </c>
      <c r="E121" s="119" t="s">
        <v>330</v>
      </c>
      <c r="H121" s="255" t="s">
        <v>386</v>
      </c>
      <c r="I121" s="126"/>
    </row>
    <row r="122" spans="1:13" ht="20.399999999999999" x14ac:dyDescent="0.45">
      <c r="A122" s="264"/>
      <c r="B122" s="131" t="s">
        <v>318</v>
      </c>
      <c r="C122" s="266">
        <f xml:space="preserve"> -(C121+C8/2-C12*(C82+C90)/(2*2/3*C95))</f>
        <v>24209.946428571428</v>
      </c>
      <c r="D122" s="119" t="s">
        <v>92</v>
      </c>
      <c r="E122" s="119" t="s">
        <v>313</v>
      </c>
      <c r="F122" s="119"/>
      <c r="G122" s="119"/>
      <c r="H122" s="255" t="s">
        <v>387</v>
      </c>
      <c r="I122" s="268"/>
    </row>
    <row r="123" spans="1:13" ht="15.6" x14ac:dyDescent="0.35">
      <c r="A123" s="264"/>
      <c r="B123" s="131" t="s">
        <v>319</v>
      </c>
      <c r="C123" s="267">
        <f>C12/2</f>
        <v>4503</v>
      </c>
      <c r="D123" s="119" t="s">
        <v>92</v>
      </c>
      <c r="E123" s="119" t="s">
        <v>320</v>
      </c>
      <c r="F123" s="119"/>
      <c r="G123" s="119"/>
      <c r="H123" s="135" t="s">
        <v>331</v>
      </c>
      <c r="I123" s="119"/>
    </row>
    <row r="124" spans="1:13" x14ac:dyDescent="0.25">
      <c r="B124" s="119"/>
      <c r="C124" s="119"/>
      <c r="D124" s="119"/>
      <c r="E124" s="119"/>
      <c r="F124" s="119"/>
      <c r="G124" s="119"/>
      <c r="H124" s="119"/>
      <c r="I124" s="119"/>
    </row>
    <row r="125" spans="1:13" x14ac:dyDescent="0.25">
      <c r="B125" s="119"/>
      <c r="C125" s="119"/>
      <c r="D125" s="119"/>
      <c r="E125" s="119"/>
      <c r="F125" s="119"/>
      <c r="G125" s="119"/>
      <c r="H125" s="125"/>
      <c r="I125" s="119"/>
    </row>
    <row r="126" spans="1:13" x14ac:dyDescent="0.25">
      <c r="B126" s="119"/>
      <c r="C126" s="119"/>
      <c r="D126" s="119"/>
      <c r="E126" s="119"/>
      <c r="F126" s="119"/>
      <c r="G126" s="119"/>
      <c r="H126" s="119"/>
      <c r="I126" s="119"/>
    </row>
    <row r="127" spans="1:13" x14ac:dyDescent="0.25">
      <c r="B127" s="119"/>
      <c r="C127" s="119"/>
      <c r="D127" s="119"/>
      <c r="E127" s="119"/>
      <c r="F127" s="119"/>
      <c r="G127" s="119"/>
      <c r="H127" s="119"/>
      <c r="I127" s="119"/>
    </row>
    <row r="128" spans="1:13" x14ac:dyDescent="0.25">
      <c r="B128" s="119"/>
      <c r="C128" s="119"/>
      <c r="D128" s="119"/>
      <c r="E128" s="119"/>
      <c r="F128" s="119"/>
      <c r="G128" s="119"/>
      <c r="H128" s="119"/>
      <c r="I128" s="119"/>
    </row>
    <row r="129" spans="2:9" x14ac:dyDescent="0.25">
      <c r="B129" s="119"/>
      <c r="C129" s="119"/>
      <c r="D129" s="119"/>
      <c r="E129" s="119"/>
      <c r="F129" s="119"/>
      <c r="G129" s="119"/>
      <c r="H129" s="119"/>
      <c r="I129" s="119"/>
    </row>
    <row r="130" spans="2:9" x14ac:dyDescent="0.25">
      <c r="B130" s="119"/>
      <c r="C130" s="119"/>
      <c r="D130" s="119"/>
      <c r="E130" s="119"/>
      <c r="F130" s="119"/>
      <c r="G130" s="119"/>
      <c r="H130" s="119"/>
      <c r="I130" s="119"/>
    </row>
    <row r="131" spans="2:9" x14ac:dyDescent="0.25">
      <c r="B131" s="119"/>
      <c r="C131" s="119"/>
      <c r="D131" s="119"/>
      <c r="E131" s="119"/>
      <c r="F131" s="119"/>
      <c r="G131" s="119"/>
      <c r="H131" s="119"/>
      <c r="I131" s="119"/>
    </row>
    <row r="153" spans="14:16" x14ac:dyDescent="0.25">
      <c r="N153" s="119"/>
      <c r="O153" s="119"/>
      <c r="P153" s="119"/>
    </row>
  </sheetData>
  <sheetProtection algorithmName="SHA-512" hashValue="L0go3J4x5Q5MBZ0f+6MjCDFon7h5rm+m5kHS+J6gxz9CErLfcohw9RxVEfqe0mp0A0m1QMSb8UVX3KqNmzGAqQ==" saltValue="dj3H9QWhz56LzdEALGjKOQ==" spinCount="100000" sheet="1" objects="1" scenarios="1" selectLockedCells="1"/>
  <mergeCells count="9">
    <mergeCell ref="B5:C5"/>
    <mergeCell ref="D5:K5"/>
    <mergeCell ref="L5:M5"/>
    <mergeCell ref="N5:S5"/>
    <mergeCell ref="B2:S2"/>
    <mergeCell ref="B4:C4"/>
    <mergeCell ref="D4:K4"/>
    <mergeCell ref="L4:M4"/>
    <mergeCell ref="N4:S4"/>
  </mergeCells>
  <pageMargins left="0.70866141732283472" right="0.70866141732283472" top="0.74803149606299213" bottom="0.74803149606299213" header="0.31496062992125984" footer="0.31496062992125984"/>
  <pageSetup paperSize="9" scale="52" fitToHeight="2" orientation="portrait" r:id="rId1"/>
  <headerFooter>
    <oddFooter>&amp;L&amp;9Static - eurocode version 001&amp;C&amp;9Weight bracket type 1&amp;R&amp;9&amp;D  &amp;T</oddFooter>
  </headerFooter>
  <drawing r:id="rId2"/>
  <legacyDrawing r:id="rId3"/>
  <oleObjects>
    <mc:AlternateContent xmlns:mc="http://schemas.openxmlformats.org/markup-compatibility/2006">
      <mc:Choice Requires="x14">
        <oleObject progId="Acrobat Document" shapeId="79886" r:id="rId4">
          <objectPr defaultSize="0" autoPict="0" r:id="rId5">
            <anchor moveWithCells="1">
              <from>
                <xdr:col>11</xdr:col>
                <xdr:colOff>22860</xdr:colOff>
                <xdr:row>49</xdr:row>
                <xdr:rowOff>22860</xdr:rowOff>
              </from>
              <to>
                <xdr:col>19</xdr:col>
                <xdr:colOff>7620</xdr:colOff>
                <xdr:row>62</xdr:row>
                <xdr:rowOff>121920</xdr:rowOff>
              </to>
            </anchor>
          </objectPr>
        </oleObject>
      </mc:Choice>
      <mc:Fallback>
        <oleObject progId="Acrobat Document" shapeId="79886" r:id="rId4"/>
      </mc:Fallback>
    </mc:AlternateContent>
  </oleObjects>
  <mc:AlternateContent xmlns:mc="http://schemas.openxmlformats.org/markup-compatibility/2006">
    <mc:Choice Requires="x14">
      <controls>
        <mc:AlternateContent xmlns:mc="http://schemas.openxmlformats.org/markup-compatibility/2006">
          <mc:Choice Requires="x14">
            <control shapeId="79873" r:id="rId6" name="Drop Down 1">
              <controlPr defaultSize="0" autoLine="0" autoPict="0">
                <anchor>
                  <from>
                    <xdr:col>2</xdr:col>
                    <xdr:colOff>0</xdr:colOff>
                    <xdr:row>16</xdr:row>
                    <xdr:rowOff>0</xdr:rowOff>
                  </from>
                  <to>
                    <xdr:col>3</xdr:col>
                    <xdr:colOff>220980</xdr:colOff>
                    <xdr:row>17</xdr:row>
                    <xdr:rowOff>0</xdr:rowOff>
                  </to>
                </anchor>
              </controlPr>
            </control>
          </mc:Choice>
        </mc:AlternateContent>
        <mc:AlternateContent xmlns:mc="http://schemas.openxmlformats.org/markup-compatibility/2006">
          <mc:Choice Requires="x14">
            <control shapeId="79874" r:id="rId7" name="Drop Down 2">
              <controlPr defaultSize="0" autoLine="0" autoPict="0">
                <anchor>
                  <from>
                    <xdr:col>2</xdr:col>
                    <xdr:colOff>0</xdr:colOff>
                    <xdr:row>17</xdr:row>
                    <xdr:rowOff>0</xdr:rowOff>
                  </from>
                  <to>
                    <xdr:col>3</xdr:col>
                    <xdr:colOff>220980</xdr:colOff>
                    <xdr:row>18</xdr:row>
                    <xdr:rowOff>0</xdr:rowOff>
                  </to>
                </anchor>
              </controlPr>
            </control>
          </mc:Choice>
        </mc:AlternateContent>
        <mc:AlternateContent xmlns:mc="http://schemas.openxmlformats.org/markup-compatibility/2006">
          <mc:Choice Requires="x14">
            <control shapeId="79875" r:id="rId8" name="Drop Down 3">
              <controlPr defaultSize="0" autoLine="0" autoPict="0">
                <anchor>
                  <from>
                    <xdr:col>2</xdr:col>
                    <xdr:colOff>0</xdr:colOff>
                    <xdr:row>25</xdr:row>
                    <xdr:rowOff>0</xdr:rowOff>
                  </from>
                  <to>
                    <xdr:col>3</xdr:col>
                    <xdr:colOff>0</xdr:colOff>
                    <xdr:row>26</xdr:row>
                    <xdr:rowOff>0</xdr:rowOff>
                  </to>
                </anchor>
              </controlPr>
            </control>
          </mc:Choice>
        </mc:AlternateContent>
        <mc:AlternateContent xmlns:mc="http://schemas.openxmlformats.org/markup-compatibility/2006">
          <mc:Choice Requires="x14">
            <control shapeId="79877" r:id="rId9" name="Drop Down 5">
              <controlPr defaultSize="0" autoLine="0" autoPict="0">
                <anchor>
                  <from>
                    <xdr:col>2</xdr:col>
                    <xdr:colOff>0</xdr:colOff>
                    <xdr:row>37</xdr:row>
                    <xdr:rowOff>0</xdr:rowOff>
                  </from>
                  <to>
                    <xdr:col>3</xdr:col>
                    <xdr:colOff>0</xdr:colOff>
                    <xdr:row>38</xdr:row>
                    <xdr:rowOff>0</xdr:rowOff>
                  </to>
                </anchor>
              </controlPr>
            </control>
          </mc:Choice>
        </mc:AlternateContent>
        <mc:AlternateContent xmlns:mc="http://schemas.openxmlformats.org/markup-compatibility/2006">
          <mc:Choice Requires="x14">
            <control shapeId="79878" r:id="rId10" name="Drop Down 6">
              <controlPr defaultSize="0" autoLine="0" autoPict="0">
                <anchor>
                  <from>
                    <xdr:col>2</xdr:col>
                    <xdr:colOff>0</xdr:colOff>
                    <xdr:row>18</xdr:row>
                    <xdr:rowOff>0</xdr:rowOff>
                  </from>
                  <to>
                    <xdr:col>3</xdr:col>
                    <xdr:colOff>220980</xdr:colOff>
                    <xdr:row>19</xdr:row>
                    <xdr:rowOff>0</xdr:rowOff>
                  </to>
                </anchor>
              </controlPr>
            </control>
          </mc:Choice>
        </mc:AlternateContent>
        <mc:AlternateContent xmlns:mc="http://schemas.openxmlformats.org/markup-compatibility/2006">
          <mc:Choice Requires="x14">
            <control shapeId="79879" r:id="rId11" name="Drop Down 7">
              <controlPr defaultSize="0" autoLine="0" autoPict="0">
                <anchor>
                  <from>
                    <xdr:col>2</xdr:col>
                    <xdr:colOff>0</xdr:colOff>
                    <xdr:row>57</xdr:row>
                    <xdr:rowOff>0</xdr:rowOff>
                  </from>
                  <to>
                    <xdr:col>3</xdr:col>
                    <xdr:colOff>0</xdr:colOff>
                    <xdr:row>58</xdr:row>
                    <xdr:rowOff>0</xdr:rowOff>
                  </to>
                </anchor>
              </controlPr>
            </control>
          </mc:Choice>
        </mc:AlternateContent>
        <mc:AlternateContent xmlns:mc="http://schemas.openxmlformats.org/markup-compatibility/2006">
          <mc:Choice Requires="x14">
            <control shapeId="79883" r:id="rId12" name="Drop Down 11">
              <controlPr defaultSize="0" autoLine="0" autoPict="0">
                <anchor>
                  <from>
                    <xdr:col>2</xdr:col>
                    <xdr:colOff>0</xdr:colOff>
                    <xdr:row>36</xdr:row>
                    <xdr:rowOff>0</xdr:rowOff>
                  </from>
                  <to>
                    <xdr:col>6</xdr:col>
                    <xdr:colOff>0</xdr:colOff>
                    <xdr:row>37</xdr:row>
                    <xdr:rowOff>0</xdr:rowOff>
                  </to>
                </anchor>
              </controlPr>
            </control>
          </mc:Choice>
        </mc:AlternateContent>
        <mc:AlternateContent xmlns:mc="http://schemas.openxmlformats.org/markup-compatibility/2006">
          <mc:Choice Requires="x14">
            <control shapeId="79884" r:id="rId13" name="Drop Down 12">
              <controlPr defaultSize="0" autoLine="0" autoPict="0">
                <anchor>
                  <from>
                    <xdr:col>2</xdr:col>
                    <xdr:colOff>0</xdr:colOff>
                    <xdr:row>56</xdr:row>
                    <xdr:rowOff>0</xdr:rowOff>
                  </from>
                  <to>
                    <xdr:col>6</xdr:col>
                    <xdr:colOff>0</xdr:colOff>
                    <xdr:row>57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48"/>
  <dimension ref="A3:R83"/>
  <sheetViews>
    <sheetView workbookViewId="0">
      <selection activeCell="A120" sqref="A120"/>
    </sheetView>
  </sheetViews>
  <sheetFormatPr defaultRowHeight="13.8" x14ac:dyDescent="0.25"/>
  <cols>
    <col min="7" max="7" width="16.19921875" bestFit="1" customWidth="1"/>
  </cols>
  <sheetData>
    <row r="3" spans="2:18" x14ac:dyDescent="0.25">
      <c r="B3" s="186" t="s">
        <v>165</v>
      </c>
      <c r="C3" s="187"/>
      <c r="D3" s="188"/>
      <c r="E3" s="171"/>
      <c r="F3" s="189"/>
    </row>
    <row r="4" spans="2:18" x14ac:dyDescent="0.25">
      <c r="B4" s="187"/>
      <c r="C4" s="187"/>
      <c r="D4" s="188"/>
      <c r="E4" s="171"/>
      <c r="F4" s="181"/>
      <c r="M4" s="126"/>
      <c r="N4" s="126"/>
      <c r="O4" s="126"/>
      <c r="P4" s="126"/>
      <c r="Q4" s="126"/>
      <c r="R4" s="126"/>
    </row>
    <row r="5" spans="2:18" ht="18.600000000000001" x14ac:dyDescent="0.3">
      <c r="B5" s="187"/>
      <c r="C5" s="187"/>
      <c r="D5" s="188"/>
      <c r="E5" s="190" t="s">
        <v>166</v>
      </c>
      <c r="F5" s="191">
        <v>1.5</v>
      </c>
      <c r="G5" t="s">
        <v>167</v>
      </c>
      <c r="H5" t="s">
        <v>168</v>
      </c>
      <c r="I5" s="188"/>
      <c r="J5" s="188"/>
      <c r="M5" s="126"/>
      <c r="N5" s="192"/>
      <c r="O5" s="126"/>
      <c r="P5" s="126"/>
      <c r="Q5" s="126"/>
      <c r="R5" s="126"/>
    </row>
    <row r="6" spans="2:18" ht="18.600000000000001" x14ac:dyDescent="0.3">
      <c r="B6" s="193"/>
      <c r="C6" s="194"/>
      <c r="D6" s="195"/>
      <c r="E6" s="196" t="s">
        <v>169</v>
      </c>
      <c r="F6" s="197">
        <v>1.2</v>
      </c>
      <c r="G6" s="198" t="s">
        <v>167</v>
      </c>
      <c r="I6" s="188"/>
      <c r="J6" s="188"/>
      <c r="M6" s="126"/>
      <c r="N6" s="192"/>
      <c r="O6" s="126"/>
      <c r="P6" s="126"/>
      <c r="Q6" s="126"/>
      <c r="R6" s="126"/>
    </row>
    <row r="7" spans="2:18" x14ac:dyDescent="0.25">
      <c r="B7" s="187"/>
      <c r="C7" s="187"/>
      <c r="D7" s="188"/>
      <c r="E7" s="190" t="s">
        <v>170</v>
      </c>
      <c r="F7" s="191">
        <v>20</v>
      </c>
      <c r="G7" t="s">
        <v>167</v>
      </c>
      <c r="H7" t="s">
        <v>171</v>
      </c>
      <c r="I7" s="188"/>
      <c r="J7" s="188"/>
      <c r="M7" s="126"/>
      <c r="N7" s="199"/>
      <c r="O7" s="126"/>
      <c r="P7" s="126"/>
      <c r="Q7" s="126"/>
      <c r="R7" s="126"/>
    </row>
    <row r="8" spans="2:18" x14ac:dyDescent="0.25">
      <c r="B8" s="187"/>
      <c r="C8" s="187"/>
      <c r="D8" s="188"/>
      <c r="E8" s="200" t="s">
        <v>172</v>
      </c>
      <c r="F8" s="191">
        <v>0.6</v>
      </c>
      <c r="G8" s="188" t="s">
        <v>167</v>
      </c>
      <c r="I8" s="188"/>
      <c r="J8" s="188"/>
      <c r="M8" s="126"/>
      <c r="N8" s="199"/>
      <c r="O8" s="126"/>
      <c r="P8" s="126"/>
      <c r="Q8" s="126"/>
      <c r="R8" s="126"/>
    </row>
    <row r="9" spans="2:18" x14ac:dyDescent="0.25">
      <c r="B9" s="187"/>
      <c r="C9" s="187"/>
      <c r="D9" s="188"/>
      <c r="E9" s="188"/>
      <c r="F9" s="1">
        <v>2</v>
      </c>
      <c r="G9" s="188" t="s">
        <v>173</v>
      </c>
      <c r="I9" s="188"/>
      <c r="J9" s="188"/>
      <c r="M9" s="126"/>
      <c r="N9" s="199"/>
      <c r="O9" s="126"/>
      <c r="P9" s="126"/>
      <c r="Q9" s="126"/>
      <c r="R9" s="126"/>
    </row>
    <row r="10" spans="2:18" x14ac:dyDescent="0.25">
      <c r="B10" s="187"/>
      <c r="C10" s="187"/>
      <c r="D10" s="188"/>
      <c r="E10" s="188"/>
      <c r="F10" s="188"/>
      <c r="G10" s="188"/>
      <c r="I10" s="188"/>
      <c r="J10" s="188"/>
      <c r="M10" s="126"/>
      <c r="N10" s="199"/>
      <c r="O10" s="126"/>
      <c r="P10" s="126"/>
      <c r="Q10" s="126"/>
      <c r="R10" s="126"/>
    </row>
    <row r="11" spans="2:18" x14ac:dyDescent="0.25">
      <c r="B11" s="187"/>
      <c r="C11" s="187"/>
      <c r="D11" s="188"/>
      <c r="E11" s="188"/>
      <c r="F11" s="191">
        <v>19</v>
      </c>
      <c r="G11" t="s">
        <v>174</v>
      </c>
      <c r="I11" s="188"/>
      <c r="J11" s="188"/>
      <c r="K11" t="s">
        <v>175</v>
      </c>
      <c r="M11" s="126"/>
      <c r="N11" s="199"/>
      <c r="O11" s="126"/>
      <c r="P11" s="126"/>
      <c r="Q11" s="126"/>
      <c r="R11" s="126"/>
    </row>
    <row r="12" spans="2:18" x14ac:dyDescent="0.25">
      <c r="B12" s="187"/>
      <c r="C12" s="187"/>
      <c r="D12" s="188"/>
      <c r="E12" s="188"/>
      <c r="F12" s="188"/>
      <c r="G12" s="188"/>
      <c r="I12" s="188"/>
      <c r="J12" s="188"/>
      <c r="M12" s="126"/>
      <c r="N12" s="199"/>
      <c r="O12" s="126"/>
      <c r="P12" s="126"/>
      <c r="Q12" s="126"/>
      <c r="R12" s="126"/>
    </row>
    <row r="13" spans="2:18" x14ac:dyDescent="0.25">
      <c r="B13" s="187"/>
      <c r="C13" s="187"/>
      <c r="D13" s="188"/>
      <c r="E13" t="s">
        <v>176</v>
      </c>
      <c r="F13" s="189"/>
      <c r="G13" s="188"/>
      <c r="I13" s="188"/>
      <c r="J13" s="188"/>
      <c r="K13" s="201" t="s">
        <v>177</v>
      </c>
      <c r="L13" s="201"/>
      <c r="M13" s="126"/>
      <c r="N13" s="199"/>
      <c r="O13" s="126"/>
      <c r="P13" s="126"/>
      <c r="Q13" s="126"/>
      <c r="R13" s="126"/>
    </row>
    <row r="14" spans="2:18" x14ac:dyDescent="0.25">
      <c r="B14" s="187"/>
      <c r="C14" s="187"/>
      <c r="D14" s="188"/>
      <c r="E14" s="200" t="s">
        <v>178</v>
      </c>
      <c r="F14" s="202">
        <f>+F5/(3*F6)</f>
        <v>0.41666666666666669</v>
      </c>
      <c r="G14" s="188"/>
      <c r="I14" s="188"/>
      <c r="J14" s="188"/>
      <c r="K14" s="201">
        <f>(3*F6)</f>
        <v>3.5999999999999996</v>
      </c>
      <c r="L14" s="201"/>
      <c r="M14" s="126"/>
      <c r="N14" s="199"/>
      <c r="O14" s="126"/>
      <c r="P14" s="126"/>
      <c r="Q14" s="126"/>
      <c r="R14" s="126"/>
    </row>
    <row r="15" spans="2:18" x14ac:dyDescent="0.25">
      <c r="B15" s="187"/>
      <c r="C15" s="187"/>
      <c r="D15" s="188"/>
      <c r="E15" s="200" t="s">
        <v>179</v>
      </c>
      <c r="F15" s="202">
        <f>+F7/(3*F6)</f>
        <v>5.5555555555555562</v>
      </c>
      <c r="G15" s="188"/>
      <c r="I15" s="188"/>
      <c r="J15" s="188"/>
      <c r="M15" s="126"/>
      <c r="N15" s="199"/>
      <c r="O15" s="126"/>
      <c r="P15" s="126"/>
      <c r="Q15" s="126"/>
      <c r="R15" s="126"/>
    </row>
    <row r="16" spans="2:18" x14ac:dyDescent="0.25">
      <c r="B16" s="187"/>
      <c r="C16" s="187"/>
      <c r="D16" s="188"/>
      <c r="E16" s="200" t="s">
        <v>180</v>
      </c>
      <c r="F16" s="181">
        <v>1</v>
      </c>
      <c r="G16" s="188"/>
      <c r="H16" s="188"/>
      <c r="I16" s="188"/>
      <c r="J16" s="188"/>
      <c r="M16" s="126"/>
      <c r="N16" s="199"/>
      <c r="O16" s="126"/>
      <c r="P16" s="126"/>
      <c r="Q16" s="126"/>
      <c r="R16" s="126"/>
    </row>
    <row r="17" spans="2:18" ht="18.600000000000001" x14ac:dyDescent="0.3">
      <c r="B17" s="187"/>
      <c r="C17" s="187"/>
      <c r="D17" s="188"/>
      <c r="E17" s="200" t="s">
        <v>181</v>
      </c>
      <c r="F17" s="203">
        <f>SMALL(F14:F16,1)</f>
        <v>0.41666666666666669</v>
      </c>
      <c r="G17" s="200" t="s">
        <v>182</v>
      </c>
      <c r="H17" s="202">
        <v>0.66</v>
      </c>
      <c r="I17" s="202"/>
      <c r="J17" s="188"/>
      <c r="K17" s="204" t="s">
        <v>183</v>
      </c>
      <c r="L17" s="205"/>
      <c r="M17" s="205"/>
      <c r="N17" s="206"/>
      <c r="O17" s="205"/>
      <c r="P17" s="205"/>
      <c r="Q17" s="205"/>
      <c r="R17" s="205"/>
    </row>
    <row r="18" spans="2:18" x14ac:dyDescent="0.25">
      <c r="B18" s="187"/>
      <c r="C18" s="187"/>
      <c r="D18" s="188"/>
      <c r="E18" s="188"/>
      <c r="F18" s="188"/>
      <c r="G18" s="188"/>
      <c r="H18" s="188"/>
      <c r="I18" s="188"/>
      <c r="J18" s="188"/>
      <c r="M18" s="126"/>
      <c r="N18" s="199"/>
      <c r="O18" s="126"/>
      <c r="P18" s="126"/>
      <c r="Q18" s="126"/>
      <c r="R18" s="126"/>
    </row>
    <row r="19" spans="2:18" x14ac:dyDescent="0.25">
      <c r="B19" s="187"/>
      <c r="C19" s="187"/>
      <c r="D19" s="188"/>
      <c r="E19" s="200" t="s">
        <v>184</v>
      </c>
      <c r="F19" s="207">
        <f>+F17</f>
        <v>0.41666666666666669</v>
      </c>
      <c r="H19" s="188"/>
      <c r="I19" s="188"/>
      <c r="J19" s="188"/>
      <c r="M19" s="126"/>
      <c r="N19" s="126"/>
      <c r="O19" s="126"/>
      <c r="P19" s="126"/>
      <c r="Q19" s="126"/>
      <c r="R19" s="126"/>
    </row>
    <row r="20" spans="2:18" ht="18.600000000000001" x14ac:dyDescent="0.3">
      <c r="B20" s="187"/>
      <c r="C20" s="187"/>
      <c r="D20" s="188"/>
      <c r="E20" s="171"/>
      <c r="F20" s="208">
        <v>1</v>
      </c>
      <c r="I20" s="188"/>
      <c r="J20" s="188"/>
      <c r="M20" s="126"/>
      <c r="N20" s="192"/>
      <c r="O20" s="126"/>
      <c r="P20" s="126"/>
      <c r="Q20" s="126"/>
      <c r="R20" s="126"/>
    </row>
    <row r="21" spans="2:18" ht="18.600000000000001" x14ac:dyDescent="0.3">
      <c r="B21" s="187"/>
      <c r="C21" s="187"/>
      <c r="D21" s="188"/>
      <c r="E21" s="200" t="s">
        <v>185</v>
      </c>
      <c r="F21" s="203">
        <f>+F9*F19*F20*F11*F6*F8</f>
        <v>11.4</v>
      </c>
      <c r="G21" s="209">
        <v>1</v>
      </c>
      <c r="I21" s="188"/>
      <c r="J21" s="188"/>
      <c r="M21" s="126"/>
      <c r="N21" s="192"/>
      <c r="O21" s="126"/>
      <c r="P21" s="126"/>
      <c r="Q21" s="126"/>
      <c r="R21" s="126"/>
    </row>
    <row r="22" spans="2:18" ht="18.600000000000001" x14ac:dyDescent="0.3">
      <c r="B22" s="187"/>
      <c r="C22" s="187"/>
      <c r="D22" s="188"/>
      <c r="E22" s="188"/>
      <c r="F22" s="203">
        <f>+F21*G22</f>
        <v>22.8</v>
      </c>
      <c r="G22" s="209">
        <v>2</v>
      </c>
      <c r="H22" s="210"/>
      <c r="I22" s="188"/>
      <c r="J22" s="188"/>
      <c r="M22" s="126"/>
      <c r="N22" s="192"/>
      <c r="O22" s="126"/>
      <c r="P22" s="126"/>
      <c r="Q22" s="126"/>
      <c r="R22" s="126"/>
    </row>
    <row r="23" spans="2:18" ht="18.600000000000001" x14ac:dyDescent="0.3">
      <c r="B23" s="187"/>
      <c r="C23" s="187"/>
      <c r="D23" s="188"/>
      <c r="E23" s="200" t="s">
        <v>186</v>
      </c>
      <c r="F23" s="211">
        <v>4.5</v>
      </c>
      <c r="G23" s="212"/>
      <c r="H23" s="210"/>
      <c r="I23" s="202"/>
      <c r="J23" s="188"/>
      <c r="M23" s="126"/>
      <c r="N23" s="192"/>
      <c r="O23" s="126"/>
      <c r="P23" s="126"/>
      <c r="Q23" s="126"/>
      <c r="R23" s="126"/>
    </row>
    <row r="24" spans="2:18" ht="18.600000000000001" x14ac:dyDescent="0.3">
      <c r="B24" s="187"/>
      <c r="C24" s="187"/>
      <c r="D24" s="188"/>
      <c r="E24" s="210"/>
      <c r="F24" s="210"/>
      <c r="G24" s="210"/>
      <c r="H24" s="210"/>
      <c r="I24" s="188"/>
      <c r="J24" s="188"/>
      <c r="M24" s="126"/>
      <c r="N24" s="192"/>
      <c r="O24" s="126"/>
      <c r="P24" s="126"/>
      <c r="Q24" s="126"/>
      <c r="R24" s="126"/>
    </row>
    <row r="25" spans="2:18" ht="18.600000000000001" x14ac:dyDescent="0.3">
      <c r="B25" s="187"/>
      <c r="C25" s="213">
        <f>+F23</f>
        <v>4.5</v>
      </c>
      <c r="D25" s="210" t="str">
        <f>IF(C25&lt;E25,"&lt;&lt;&lt;", "voldoet niet")</f>
        <v>&lt;&lt;&lt;</v>
      </c>
      <c r="E25" s="213">
        <f>+F21</f>
        <v>11.4</v>
      </c>
      <c r="F25" s="181"/>
      <c r="I25" s="188"/>
      <c r="J25" s="188"/>
      <c r="M25" s="126"/>
      <c r="N25" s="192"/>
      <c r="O25" s="126"/>
      <c r="P25" s="126"/>
      <c r="Q25" s="126"/>
      <c r="R25" s="126"/>
    </row>
    <row r="48" spans="1:9" ht="14.4" x14ac:dyDescent="0.3">
      <c r="A48" s="214" t="s">
        <v>187</v>
      </c>
      <c r="I48" s="119" t="s">
        <v>112</v>
      </c>
    </row>
    <row r="49" spans="1:14" ht="15.6" x14ac:dyDescent="0.35">
      <c r="A49" s="214"/>
      <c r="I49" s="119" t="s">
        <v>114</v>
      </c>
      <c r="J49" s="119">
        <f>J50*J54*J56*J52*J53/J55</f>
        <v>9460.0000000000018</v>
      </c>
      <c r="K49" s="119" t="s">
        <v>115</v>
      </c>
    </row>
    <row r="50" spans="1:14" ht="15.6" x14ac:dyDescent="0.35">
      <c r="A50" s="214"/>
      <c r="I50" s="185" t="s">
        <v>59</v>
      </c>
      <c r="J50" s="119">
        <f>MIN(2.8*J51/J52-1.7,2.5)</f>
        <v>2.5</v>
      </c>
      <c r="K50" s="119" t="s">
        <v>188</v>
      </c>
      <c r="L50" s="119"/>
      <c r="M50" s="119"/>
    </row>
    <row r="51" spans="1:14" ht="15.6" x14ac:dyDescent="0.35">
      <c r="A51" s="214"/>
      <c r="I51" s="119" t="s">
        <v>120</v>
      </c>
      <c r="J51" s="184">
        <v>1000</v>
      </c>
      <c r="K51" s="119" t="s">
        <v>121</v>
      </c>
      <c r="L51" s="119"/>
      <c r="M51" s="119"/>
    </row>
    <row r="52" spans="1:14" ht="14.4" x14ac:dyDescent="0.3">
      <c r="A52" s="214"/>
      <c r="I52" s="119" t="s">
        <v>31</v>
      </c>
      <c r="J52" s="184">
        <v>10</v>
      </c>
      <c r="K52" s="119" t="s">
        <v>122</v>
      </c>
      <c r="L52" s="119"/>
      <c r="M52" s="119"/>
    </row>
    <row r="53" spans="1:14" ht="15.6" x14ac:dyDescent="0.35">
      <c r="A53" s="214"/>
      <c r="I53" s="119" t="s">
        <v>124</v>
      </c>
      <c r="J53" s="184">
        <v>2.2000000000000002</v>
      </c>
      <c r="K53" s="119" t="s">
        <v>125</v>
      </c>
      <c r="L53" s="119"/>
      <c r="M53" s="119"/>
      <c r="N53" t="s">
        <v>126</v>
      </c>
    </row>
    <row r="54" spans="1:14" ht="15.6" x14ac:dyDescent="0.35">
      <c r="A54" s="215"/>
      <c r="I54" s="185" t="s">
        <v>127</v>
      </c>
      <c r="J54" s="119">
        <f>MIN(J58/3/J52,1,J57/J56)</f>
        <v>1</v>
      </c>
      <c r="K54" s="119" t="s">
        <v>189</v>
      </c>
      <c r="L54" s="119"/>
      <c r="M54" s="119"/>
      <c r="N54" s="119" t="s">
        <v>190</v>
      </c>
    </row>
    <row r="55" spans="1:14" ht="15.6" x14ac:dyDescent="0.35">
      <c r="A55" s="214"/>
      <c r="I55" s="216" t="s">
        <v>129</v>
      </c>
      <c r="J55" s="119">
        <v>1.25</v>
      </c>
      <c r="K55" s="119" t="s">
        <v>130</v>
      </c>
      <c r="L55" s="119"/>
      <c r="M55" s="119"/>
    </row>
    <row r="56" spans="1:14" ht="15.6" x14ac:dyDescent="0.35">
      <c r="A56" s="214"/>
      <c r="I56" s="119" t="s">
        <v>131</v>
      </c>
      <c r="J56" s="184">
        <v>215</v>
      </c>
      <c r="K56" s="119" t="s">
        <v>132</v>
      </c>
      <c r="L56" s="119"/>
      <c r="M56" s="119"/>
    </row>
    <row r="57" spans="1:14" ht="15.6" x14ac:dyDescent="0.35">
      <c r="I57" s="119" t="s">
        <v>133</v>
      </c>
      <c r="J57" s="184">
        <v>235</v>
      </c>
      <c r="K57" s="119" t="s">
        <v>134</v>
      </c>
      <c r="L57" s="119"/>
      <c r="M57" s="119"/>
    </row>
    <row r="58" spans="1:14" ht="15.6" x14ac:dyDescent="0.35">
      <c r="A58" s="214"/>
      <c r="I58" s="119" t="s">
        <v>135</v>
      </c>
      <c r="J58" s="184">
        <v>50</v>
      </c>
      <c r="K58" s="119" t="s">
        <v>121</v>
      </c>
      <c r="L58" s="119"/>
      <c r="M58" s="119"/>
    </row>
    <row r="59" spans="1:14" ht="14.4" x14ac:dyDescent="0.3">
      <c r="A59" s="214"/>
    </row>
    <row r="60" spans="1:14" ht="14.4" x14ac:dyDescent="0.3">
      <c r="A60" s="214"/>
    </row>
    <row r="61" spans="1:14" ht="14.4" x14ac:dyDescent="0.3">
      <c r="A61" s="214"/>
      <c r="I61" s="119" t="s">
        <v>136</v>
      </c>
    </row>
    <row r="62" spans="1:14" ht="15.6" x14ac:dyDescent="0.35">
      <c r="A62" s="214"/>
      <c r="I62" s="119" t="s">
        <v>114</v>
      </c>
      <c r="J62" s="119">
        <f>J63*J67*J70*J65*J66/J69</f>
        <v>21500</v>
      </c>
      <c r="K62" s="119" t="s">
        <v>115</v>
      </c>
    </row>
    <row r="63" spans="1:14" ht="15.6" x14ac:dyDescent="0.35">
      <c r="A63" s="214"/>
      <c r="I63" s="119" t="s">
        <v>59</v>
      </c>
      <c r="J63" s="119">
        <f>MIN(2.8*J64/J65-1.7,2.5)</f>
        <v>2.5</v>
      </c>
      <c r="K63" s="119" t="s">
        <v>188</v>
      </c>
      <c r="L63" s="119"/>
      <c r="M63" s="119"/>
    </row>
    <row r="64" spans="1:14" ht="15.6" x14ac:dyDescent="0.35">
      <c r="I64" s="119" t="s">
        <v>120</v>
      </c>
      <c r="J64" s="184">
        <v>15</v>
      </c>
      <c r="K64" s="119" t="s">
        <v>121</v>
      </c>
      <c r="L64" s="119"/>
      <c r="M64" s="119"/>
    </row>
    <row r="65" spans="1:14" ht="14.4" x14ac:dyDescent="0.3">
      <c r="A65" s="214"/>
      <c r="I65" s="119" t="s">
        <v>31</v>
      </c>
      <c r="J65" s="184">
        <v>10</v>
      </c>
      <c r="K65" s="119" t="s">
        <v>122</v>
      </c>
      <c r="L65" s="119"/>
      <c r="M65" s="119"/>
    </row>
    <row r="66" spans="1:14" ht="15.6" x14ac:dyDescent="0.35">
      <c r="A66" s="214"/>
      <c r="I66" s="119" t="s">
        <v>137</v>
      </c>
      <c r="J66" s="184">
        <v>5</v>
      </c>
      <c r="K66" s="119" t="s">
        <v>138</v>
      </c>
      <c r="L66" s="119"/>
      <c r="M66" s="119"/>
      <c r="N66" t="s">
        <v>126</v>
      </c>
    </row>
    <row r="67" spans="1:14" ht="15.6" x14ac:dyDescent="0.35">
      <c r="I67" s="119" t="s">
        <v>127</v>
      </c>
      <c r="J67" s="119">
        <f>MIN(J72/3/J65,1,J71/J70)</f>
        <v>1</v>
      </c>
      <c r="K67" s="119" t="s">
        <v>189</v>
      </c>
      <c r="L67" s="119"/>
      <c r="M67" s="119"/>
      <c r="N67" s="119" t="s">
        <v>190</v>
      </c>
    </row>
    <row r="68" spans="1:14" x14ac:dyDescent="0.25">
      <c r="I68" s="119"/>
      <c r="J68" s="119"/>
      <c r="K68" s="119"/>
      <c r="L68" s="119"/>
      <c r="M68" s="119"/>
      <c r="N68" s="119"/>
    </row>
    <row r="69" spans="1:14" ht="15.6" x14ac:dyDescent="0.35">
      <c r="I69" s="142" t="s">
        <v>139</v>
      </c>
      <c r="J69" s="119">
        <v>1.25</v>
      </c>
      <c r="K69" s="119" t="s">
        <v>130</v>
      </c>
      <c r="L69" s="119"/>
      <c r="M69" s="119"/>
    </row>
    <row r="70" spans="1:14" ht="15.6" x14ac:dyDescent="0.35">
      <c r="I70" s="119" t="s">
        <v>131</v>
      </c>
      <c r="J70" s="184">
        <v>215</v>
      </c>
      <c r="K70" s="119" t="s">
        <v>191</v>
      </c>
      <c r="L70" s="119"/>
      <c r="M70" s="119"/>
    </row>
    <row r="71" spans="1:14" ht="15.6" x14ac:dyDescent="0.35">
      <c r="I71" s="119" t="s">
        <v>133</v>
      </c>
      <c r="J71" s="184">
        <v>235</v>
      </c>
      <c r="K71" s="119" t="s">
        <v>134</v>
      </c>
      <c r="L71" s="119"/>
      <c r="M71" s="119"/>
    </row>
    <row r="72" spans="1:14" ht="15.6" x14ac:dyDescent="0.35">
      <c r="I72" s="119" t="s">
        <v>135</v>
      </c>
      <c r="J72" s="184">
        <v>50</v>
      </c>
      <c r="K72" s="119" t="s">
        <v>121</v>
      </c>
      <c r="L72" s="119"/>
      <c r="M72" s="119"/>
    </row>
    <row r="74" spans="1:14" x14ac:dyDescent="0.25">
      <c r="I74" s="119" t="s">
        <v>141</v>
      </c>
    </row>
    <row r="75" spans="1:14" ht="15.6" x14ac:dyDescent="0.35">
      <c r="I75" s="119" t="s">
        <v>142</v>
      </c>
      <c r="J75" s="119"/>
      <c r="K75" s="119" t="s">
        <v>143</v>
      </c>
    </row>
    <row r="76" spans="1:14" ht="15.6" x14ac:dyDescent="0.35">
      <c r="I76" s="120" t="s">
        <v>144</v>
      </c>
      <c r="J76" s="119"/>
      <c r="K76" s="119"/>
      <c r="L76" s="119"/>
      <c r="M76" s="119"/>
    </row>
    <row r="77" spans="1:14" ht="15.6" x14ac:dyDescent="0.35">
      <c r="I77" s="119" t="s">
        <v>133</v>
      </c>
      <c r="J77" s="184">
        <v>800</v>
      </c>
      <c r="K77" s="119" t="s">
        <v>134</v>
      </c>
      <c r="L77" s="119"/>
      <c r="M77" s="119"/>
    </row>
    <row r="78" spans="1:14" x14ac:dyDescent="0.25">
      <c r="I78" s="119" t="s">
        <v>24</v>
      </c>
      <c r="J78" s="119"/>
      <c r="K78" s="119" t="s">
        <v>192</v>
      </c>
      <c r="L78" s="119"/>
      <c r="M78" s="119"/>
    </row>
    <row r="79" spans="1:14" ht="15.6" x14ac:dyDescent="0.35">
      <c r="I79" s="136" t="s">
        <v>129</v>
      </c>
      <c r="J79" s="119">
        <v>1.25</v>
      </c>
      <c r="K79" s="119" t="s">
        <v>192</v>
      </c>
      <c r="L79" s="119"/>
      <c r="M79" s="119"/>
    </row>
    <row r="80" spans="1:14" x14ac:dyDescent="0.25">
      <c r="M80" s="119"/>
    </row>
    <row r="81" spans="13:13" x14ac:dyDescent="0.25">
      <c r="M81" s="119"/>
    </row>
    <row r="82" spans="13:13" x14ac:dyDescent="0.25">
      <c r="M82" s="119"/>
    </row>
    <row r="83" spans="13:13" x14ac:dyDescent="0.25">
      <c r="M83" s="1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Project</vt:lpstr>
      <vt:lpstr>Wind</vt:lpstr>
      <vt:lpstr>Wind bracket type 1</vt:lpstr>
      <vt:lpstr>Weight bracket type 1</vt:lpstr>
      <vt:lpstr>Sheet1</vt:lpstr>
      <vt:lpstr>Project!Print_Area</vt:lpstr>
      <vt:lpstr>'Weight bracket type 1'!Print_Area</vt:lpstr>
      <vt:lpstr>Wind!Print_Area</vt:lpstr>
      <vt:lpstr>'Wind bracket type 1'!Print_Area</vt:lpstr>
    </vt:vector>
  </TitlesOfParts>
  <Company>Sapa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 De Clercq</dc:creator>
  <cp:lastModifiedBy>Johan De Clerck</cp:lastModifiedBy>
  <cp:lastPrinted>2020-09-14T14:33:39Z</cp:lastPrinted>
  <dcterms:created xsi:type="dcterms:W3CDTF">2012-09-15T18:24:25Z</dcterms:created>
  <dcterms:modified xsi:type="dcterms:W3CDTF">2026-06-02T11:17:48Z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a58698-f344-4198-ab37-f250df3982dd_Enabled">
    <vt:lpwstr>true</vt:lpwstr>
  </property>
  <property fmtid="{D5CDD505-2E9C-101B-9397-08002B2CF9AE}" pid="3" name="MSIP_Label_a4a58698-f344-4198-ab37-f250df3982dd_SetDate">
    <vt:lpwstr>2026-04-19T16:52:05Z</vt:lpwstr>
  </property>
  <property fmtid="{D5CDD505-2E9C-101B-9397-08002B2CF9AE}" pid="4" name="MSIP_Label_a4a58698-f344-4198-ab37-f250df3982dd_Method">
    <vt:lpwstr>Standard</vt:lpwstr>
  </property>
  <property fmtid="{D5CDD505-2E9C-101B-9397-08002B2CF9AE}" pid="5" name="MSIP_Label_a4a58698-f344-4198-ab37-f250df3982dd_Name">
    <vt:lpwstr>GLB Internal</vt:lpwstr>
  </property>
  <property fmtid="{D5CDD505-2E9C-101B-9397-08002B2CF9AE}" pid="6" name="MSIP_Label_a4a58698-f344-4198-ab37-f250df3982dd_SiteId">
    <vt:lpwstr>bc1d8991-4a28-4552-abc1-ace7ae108274</vt:lpwstr>
  </property>
  <property fmtid="{D5CDD505-2E9C-101B-9397-08002B2CF9AE}" pid="7" name="MSIP_Label_a4a58698-f344-4198-ab37-f250df3982dd_ActionId">
    <vt:lpwstr>a45608e5-974f-4d8d-982e-7801300b4cda</vt:lpwstr>
  </property>
  <property fmtid="{D5CDD505-2E9C-101B-9397-08002B2CF9AE}" pid="8" name="MSIP_Label_a4a58698-f344-4198-ab37-f250df3982dd_ContentBits">
    <vt:lpwstr>0</vt:lpwstr>
  </property>
  <property fmtid="{D5CDD505-2E9C-101B-9397-08002B2CF9AE}" pid="9" name="MSIP_Label_a4a58698-f344-4198-ab37-f250df3982dd_Tag">
    <vt:lpwstr>10, 3, 0, 1</vt:lpwstr>
  </property>
</Properties>
</file>